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6373\Downloads\"/>
    </mc:Choice>
  </mc:AlternateContent>
  <xr:revisionPtr revIDLastSave="0" documentId="13_ncr:1_{19BFC93B-015C-4687-887D-F5D1205518B7}" xr6:coauthVersionLast="47" xr6:coauthVersionMax="47" xr10:uidLastSave="{00000000-0000-0000-0000-000000000000}"/>
  <bookViews>
    <workbookView xWindow="28680" yWindow="-2475" windowWidth="29040" windowHeight="15720" xr2:uid="{00000000-000D-0000-FFFF-FFFF00000000}"/>
  </bookViews>
  <sheets>
    <sheet name="Blad1" sheetId="1" r:id="rId1"/>
  </sheets>
  <definedNames>
    <definedName name="_xlnm.Print_Area" localSheetId="0">Blad1!$A$1:$W$128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5" i="1" l="1"/>
  <c r="I127" i="1"/>
  <c r="I128" i="1"/>
  <c r="J128" i="1"/>
  <c r="K115" i="1" l="1"/>
  <c r="D115" i="1"/>
  <c r="E115" i="1" s="1"/>
  <c r="C115" i="1"/>
  <c r="W115" i="1" s="1"/>
  <c r="Q63" i="1"/>
  <c r="P128" i="1"/>
  <c r="O128" i="1"/>
  <c r="I88" i="1"/>
  <c r="I109" i="1"/>
  <c r="J66" i="1"/>
  <c r="I66" i="1"/>
  <c r="J63" i="1"/>
  <c r="I63" i="1"/>
  <c r="J15" i="1"/>
  <c r="I15" i="1"/>
  <c r="J20" i="1"/>
  <c r="I20" i="1"/>
  <c r="J13" i="1"/>
  <c r="I13" i="1"/>
  <c r="J11" i="1"/>
  <c r="I11" i="1"/>
  <c r="J6" i="1"/>
  <c r="I6" i="1"/>
  <c r="J4" i="1"/>
  <c r="I4" i="1"/>
  <c r="J5" i="1"/>
  <c r="I5" i="1"/>
  <c r="F15" i="1" l="1"/>
  <c r="R94" i="1"/>
  <c r="R88" i="1"/>
  <c r="G88" i="1"/>
  <c r="G94" i="1"/>
  <c r="F88" i="1"/>
  <c r="F94" i="1"/>
  <c r="J88" i="1"/>
  <c r="I94" i="1"/>
  <c r="J94" i="1"/>
  <c r="F59" i="1"/>
  <c r="H59" i="1" s="1"/>
  <c r="G59" i="1"/>
  <c r="I59" i="1"/>
  <c r="J59" i="1"/>
  <c r="K59" i="1" s="1"/>
  <c r="N59" i="1"/>
  <c r="S128" i="1"/>
  <c r="R128" i="1"/>
  <c r="M128" i="1"/>
  <c r="G128" i="1"/>
  <c r="L128" i="1"/>
  <c r="F128" i="1"/>
  <c r="L127" i="1"/>
  <c r="F127" i="1"/>
  <c r="L109" i="1"/>
  <c r="F109" i="1"/>
  <c r="L88" i="1"/>
  <c r="J55" i="1"/>
  <c r="I55" i="1"/>
  <c r="C76" i="1"/>
  <c r="W76" i="1" s="1"/>
  <c r="D76" i="1"/>
  <c r="H76" i="1"/>
  <c r="K76" i="1"/>
  <c r="Q66" i="1"/>
  <c r="G66" i="1"/>
  <c r="F66" i="1"/>
  <c r="J51" i="1"/>
  <c r="R51" i="1"/>
  <c r="O51" i="1"/>
  <c r="L51" i="1"/>
  <c r="I51" i="1"/>
  <c r="G51" i="1"/>
  <c r="F51" i="1"/>
  <c r="R58" i="1"/>
  <c r="L58" i="1"/>
  <c r="J58" i="1"/>
  <c r="I58" i="1"/>
  <c r="G58" i="1"/>
  <c r="F58" i="1"/>
  <c r="M63" i="1"/>
  <c r="L63" i="1"/>
  <c r="K63" i="1"/>
  <c r="F63" i="1"/>
  <c r="R16" i="1"/>
  <c r="J16" i="1"/>
  <c r="I16" i="1"/>
  <c r="G16" i="1"/>
  <c r="F16" i="1"/>
  <c r="R20" i="1"/>
  <c r="M20" i="1"/>
  <c r="L20" i="1"/>
  <c r="G20" i="1"/>
  <c r="F20" i="1"/>
  <c r="R15" i="1"/>
  <c r="P15" i="1"/>
  <c r="O15" i="1"/>
  <c r="M15" i="1"/>
  <c r="L15" i="1"/>
  <c r="G15" i="1"/>
  <c r="R9" i="1"/>
  <c r="P9" i="1"/>
  <c r="O9" i="1"/>
  <c r="M9" i="1"/>
  <c r="L9" i="1"/>
  <c r="J9" i="1"/>
  <c r="I9" i="1"/>
  <c r="O13" i="1"/>
  <c r="P13" i="1"/>
  <c r="R13" i="1"/>
  <c r="M13" i="1"/>
  <c r="L13" i="1"/>
  <c r="F13" i="1"/>
  <c r="G13" i="1"/>
  <c r="R11" i="1"/>
  <c r="P11" i="1"/>
  <c r="O11" i="1"/>
  <c r="M11" i="1"/>
  <c r="L11" i="1"/>
  <c r="G11" i="1"/>
  <c r="F11" i="1"/>
  <c r="R6" i="1"/>
  <c r="P6" i="1"/>
  <c r="O6" i="1"/>
  <c r="M6" i="1"/>
  <c r="L6" i="1"/>
  <c r="G6" i="1"/>
  <c r="F6" i="1"/>
  <c r="R34" i="1"/>
  <c r="Q34" i="1"/>
  <c r="M34" i="1"/>
  <c r="L34" i="1"/>
  <c r="J34" i="1"/>
  <c r="I34" i="1"/>
  <c r="G34" i="1"/>
  <c r="F34" i="1"/>
  <c r="R4" i="1"/>
  <c r="M4" i="1"/>
  <c r="L4" i="1"/>
  <c r="F4" i="1"/>
  <c r="G4" i="1"/>
  <c r="R5" i="1"/>
  <c r="P5" i="1"/>
  <c r="O5" i="1"/>
  <c r="M5" i="1"/>
  <c r="L5" i="1"/>
  <c r="F5" i="1"/>
  <c r="G5" i="1"/>
  <c r="I122" i="1"/>
  <c r="F122" i="1"/>
  <c r="I116" i="1"/>
  <c r="H63" i="1"/>
  <c r="Q92" i="1"/>
  <c r="J92" i="1"/>
  <c r="I92" i="1"/>
  <c r="G92" i="1"/>
  <c r="F92" i="1"/>
  <c r="M58" i="1"/>
  <c r="R55" i="1"/>
  <c r="G55" i="1"/>
  <c r="F55" i="1"/>
  <c r="S42" i="1"/>
  <c r="R42" i="1"/>
  <c r="L42" i="1"/>
  <c r="J42" i="1"/>
  <c r="I42" i="1"/>
  <c r="G42" i="1"/>
  <c r="F42" i="1"/>
  <c r="P16" i="1"/>
  <c r="O16" i="1"/>
  <c r="P20" i="1"/>
  <c r="O20" i="1"/>
  <c r="R35" i="1"/>
  <c r="J35" i="1"/>
  <c r="I35" i="1"/>
  <c r="G35" i="1"/>
  <c r="F35" i="1"/>
  <c r="G9" i="1"/>
  <c r="F9" i="1"/>
  <c r="D59" i="1" l="1"/>
  <c r="E59" i="1" s="1"/>
  <c r="C59" i="1"/>
  <c r="W59" i="1" s="1"/>
  <c r="N58" i="1"/>
  <c r="E76" i="1"/>
  <c r="H92" i="1"/>
  <c r="D63" i="1"/>
  <c r="K55" i="1"/>
  <c r="C63" i="1"/>
  <c r="W63" i="1" s="1"/>
  <c r="D122" i="1"/>
  <c r="C122" i="1"/>
  <c r="W122" i="1" s="1"/>
  <c r="G109" i="1"/>
  <c r="D109" i="1" s="1"/>
  <c r="G108" i="1"/>
  <c r="F108" i="1"/>
  <c r="H88" i="1"/>
  <c r="C90" i="1"/>
  <c r="W90" i="1" s="1"/>
  <c r="D90" i="1"/>
  <c r="K90" i="1"/>
  <c r="H128" i="1"/>
  <c r="K128" i="1"/>
  <c r="C88" i="1"/>
  <c r="W88" i="1" s="1"/>
  <c r="J108" i="1"/>
  <c r="I108" i="1"/>
  <c r="I121" i="1"/>
  <c r="J116" i="1"/>
  <c r="D116" i="1" s="1"/>
  <c r="S116" i="1"/>
  <c r="L116" i="1"/>
  <c r="C116" i="1" s="1"/>
  <c r="W116" i="1" s="1"/>
  <c r="G81" i="1"/>
  <c r="F81" i="1"/>
  <c r="J81" i="1"/>
  <c r="I81" i="1"/>
  <c r="J89" i="1"/>
  <c r="D89" i="1" s="1"/>
  <c r="I89" i="1"/>
  <c r="H97" i="1"/>
  <c r="S97" i="1"/>
  <c r="L97" i="1"/>
  <c r="C97" i="1" s="1"/>
  <c r="W97" i="1" s="1"/>
  <c r="D97" i="1"/>
  <c r="M69" i="1"/>
  <c r="N69" i="1" s="1"/>
  <c r="L69" i="1"/>
  <c r="J69" i="1"/>
  <c r="I69" i="1"/>
  <c r="G69" i="1"/>
  <c r="F69" i="1"/>
  <c r="G56" i="1"/>
  <c r="F56" i="1"/>
  <c r="J56" i="1"/>
  <c r="K56" i="1" s="1"/>
  <c r="I56" i="1"/>
  <c r="S66" i="1"/>
  <c r="R66" i="1"/>
  <c r="L66" i="1"/>
  <c r="C66" i="1" s="1"/>
  <c r="W66" i="1" s="1"/>
  <c r="D66" i="1"/>
  <c r="N4" i="1"/>
  <c r="C4" i="1"/>
  <c r="W4" i="1" s="1"/>
  <c r="P51" i="1"/>
  <c r="K51" i="1"/>
  <c r="H13" i="1"/>
  <c r="S16" i="1"/>
  <c r="K16" i="1"/>
  <c r="M42" i="1"/>
  <c r="N42" i="1" s="1"/>
  <c r="K42" i="1"/>
  <c r="S35" i="1"/>
  <c r="S9" i="1"/>
  <c r="Q9" i="1"/>
  <c r="C9" i="1"/>
  <c r="W9" i="1" s="1"/>
  <c r="K20" i="1"/>
  <c r="C15" i="1"/>
  <c r="W15" i="1" s="1"/>
  <c r="N34" i="1"/>
  <c r="K66" i="1"/>
  <c r="R109" i="1"/>
  <c r="F121" i="1"/>
  <c r="K92" i="1"/>
  <c r="D92" i="1"/>
  <c r="C92" i="1"/>
  <c r="W92" i="1" s="1"/>
  <c r="S14" i="1"/>
  <c r="R14" i="1"/>
  <c r="P14" i="1"/>
  <c r="O14" i="1"/>
  <c r="M14" i="1"/>
  <c r="L14" i="1"/>
  <c r="J14" i="1"/>
  <c r="I14" i="1"/>
  <c r="G14" i="1"/>
  <c r="F14" i="1"/>
  <c r="R32" i="1"/>
  <c r="M32" i="1"/>
  <c r="L32" i="1"/>
  <c r="J32" i="1"/>
  <c r="I32" i="1"/>
  <c r="G32" i="1"/>
  <c r="F32" i="1"/>
  <c r="H20" i="1"/>
  <c r="M16" i="1"/>
  <c r="L16" i="1"/>
  <c r="H34" i="1"/>
  <c r="C51" i="1"/>
  <c r="W51" i="1" s="1"/>
  <c r="M88" i="1"/>
  <c r="N88" i="1" s="1"/>
  <c r="Q15" i="1"/>
  <c r="S4" i="1"/>
  <c r="P4" i="1"/>
  <c r="O4" i="1"/>
  <c r="H15" i="1"/>
  <c r="K105" i="1"/>
  <c r="D105" i="1"/>
  <c r="C105" i="1"/>
  <c r="W105" i="1" s="1"/>
  <c r="Q42" i="1"/>
  <c r="H42" i="1"/>
  <c r="C42" i="1"/>
  <c r="W42" i="1" s="1"/>
  <c r="K96" i="1"/>
  <c r="C96" i="1"/>
  <c r="W96" i="1" s="1"/>
  <c r="D96" i="1"/>
  <c r="Q20" i="1"/>
  <c r="N20" i="1"/>
  <c r="I123" i="1"/>
  <c r="K123" i="1" s="1"/>
  <c r="F123" i="1"/>
  <c r="L123" i="1"/>
  <c r="R22" i="1"/>
  <c r="J22" i="1"/>
  <c r="I22" i="1"/>
  <c r="D29" i="1"/>
  <c r="C128" i="1"/>
  <c r="W128" i="1" s="1"/>
  <c r="C127" i="1"/>
  <c r="W127" i="1" s="1"/>
  <c r="Q128" i="1"/>
  <c r="N128" i="1"/>
  <c r="K109" i="1"/>
  <c r="S124" i="1"/>
  <c r="R124" i="1"/>
  <c r="L124" i="1"/>
  <c r="I124" i="1"/>
  <c r="K124" i="1" s="1"/>
  <c r="F124" i="1"/>
  <c r="D124" i="1"/>
  <c r="R123" i="1"/>
  <c r="D123" i="1"/>
  <c r="R120" i="1"/>
  <c r="F120" i="1"/>
  <c r="C120" i="1" s="1"/>
  <c r="W120" i="1" s="1"/>
  <c r="D120" i="1"/>
  <c r="K119" i="1"/>
  <c r="G119" i="1"/>
  <c r="F119" i="1"/>
  <c r="C119" i="1" s="1"/>
  <c r="W119" i="1" s="1"/>
  <c r="K118" i="1"/>
  <c r="D118" i="1"/>
  <c r="C118" i="1"/>
  <c r="W118" i="1" s="1"/>
  <c r="D117" i="1"/>
  <c r="C117" i="1"/>
  <c r="W117" i="1" s="1"/>
  <c r="K114" i="1"/>
  <c r="D114" i="1"/>
  <c r="C114" i="1"/>
  <c r="W114" i="1" s="1"/>
  <c r="K113" i="1"/>
  <c r="D113" i="1"/>
  <c r="C113" i="1"/>
  <c r="W113" i="1" s="1"/>
  <c r="D112" i="1"/>
  <c r="C112" i="1"/>
  <c r="W112" i="1" s="1"/>
  <c r="H111" i="1"/>
  <c r="D111" i="1"/>
  <c r="C111" i="1"/>
  <c r="W111" i="1" s="1"/>
  <c r="D110" i="1"/>
  <c r="C110" i="1"/>
  <c r="W110" i="1" s="1"/>
  <c r="K107" i="1"/>
  <c r="D107" i="1"/>
  <c r="C107" i="1"/>
  <c r="W107" i="1" s="1"/>
  <c r="K106" i="1"/>
  <c r="D106" i="1"/>
  <c r="C106" i="1"/>
  <c r="W106" i="1" s="1"/>
  <c r="K104" i="1"/>
  <c r="D104" i="1"/>
  <c r="C104" i="1"/>
  <c r="W104" i="1" s="1"/>
  <c r="N103" i="1"/>
  <c r="D103" i="1"/>
  <c r="C103" i="1"/>
  <c r="W103" i="1" s="1"/>
  <c r="K102" i="1"/>
  <c r="D102" i="1"/>
  <c r="C102" i="1"/>
  <c r="W102" i="1" s="1"/>
  <c r="N101" i="1"/>
  <c r="D101" i="1"/>
  <c r="C101" i="1"/>
  <c r="W101" i="1" s="1"/>
  <c r="I100" i="1"/>
  <c r="G100" i="1"/>
  <c r="F100" i="1"/>
  <c r="K99" i="1"/>
  <c r="D99" i="1"/>
  <c r="C99" i="1"/>
  <c r="W99" i="1" s="1"/>
  <c r="K98" i="1"/>
  <c r="H98" i="1"/>
  <c r="D98" i="1"/>
  <c r="C98" i="1"/>
  <c r="W98" i="1" s="1"/>
  <c r="N95" i="1"/>
  <c r="D95" i="1"/>
  <c r="C95" i="1"/>
  <c r="W95" i="1" s="1"/>
  <c r="R89" i="1"/>
  <c r="L89" i="1"/>
  <c r="N89" i="1" s="1"/>
  <c r="F89" i="1"/>
  <c r="H89" i="1" s="1"/>
  <c r="N94" i="1"/>
  <c r="K94" i="1"/>
  <c r="H94" i="1"/>
  <c r="D94" i="1"/>
  <c r="C94" i="1"/>
  <c r="W94" i="1" s="1"/>
  <c r="R93" i="1"/>
  <c r="J93" i="1"/>
  <c r="D93" i="1" s="1"/>
  <c r="I93" i="1"/>
  <c r="C93" i="1" s="1"/>
  <c r="W93" i="1" s="1"/>
  <c r="N91" i="1"/>
  <c r="K91" i="1"/>
  <c r="D91" i="1"/>
  <c r="C91" i="1"/>
  <c r="W91" i="1" s="1"/>
  <c r="R87" i="1"/>
  <c r="I87" i="1"/>
  <c r="K87" i="1" s="1"/>
  <c r="G87" i="1"/>
  <c r="F87" i="1"/>
  <c r="C87" i="1" s="1"/>
  <c r="W87" i="1" s="1"/>
  <c r="N86" i="1"/>
  <c r="K86" i="1"/>
  <c r="H86" i="1"/>
  <c r="D86" i="1"/>
  <c r="C86" i="1"/>
  <c r="W86" i="1" s="1"/>
  <c r="R85" i="1"/>
  <c r="N85" i="1"/>
  <c r="J85" i="1"/>
  <c r="D85" i="1" s="1"/>
  <c r="I85" i="1"/>
  <c r="C85" i="1" s="1"/>
  <c r="W85" i="1" s="1"/>
  <c r="K84" i="1"/>
  <c r="D84" i="1"/>
  <c r="C84" i="1"/>
  <c r="W84" i="1" s="1"/>
  <c r="J83" i="1"/>
  <c r="D83" i="1" s="1"/>
  <c r="I83" i="1"/>
  <c r="C83" i="1" s="1"/>
  <c r="W83" i="1" s="1"/>
  <c r="H82" i="1"/>
  <c r="D82" i="1"/>
  <c r="C82" i="1"/>
  <c r="W82" i="1" s="1"/>
  <c r="K80" i="1"/>
  <c r="H80" i="1"/>
  <c r="D80" i="1"/>
  <c r="C80" i="1"/>
  <c r="W80" i="1" s="1"/>
  <c r="K79" i="1"/>
  <c r="H79" i="1"/>
  <c r="D79" i="1"/>
  <c r="C79" i="1"/>
  <c r="W79" i="1" s="1"/>
  <c r="Q78" i="1"/>
  <c r="K78" i="1"/>
  <c r="H78" i="1"/>
  <c r="D78" i="1"/>
  <c r="C78" i="1"/>
  <c r="W78" i="1" s="1"/>
  <c r="N77" i="1"/>
  <c r="K77" i="1"/>
  <c r="F77" i="1"/>
  <c r="C77" i="1" s="1"/>
  <c r="W77" i="1" s="1"/>
  <c r="D77" i="1"/>
  <c r="C34" i="1"/>
  <c r="W34" i="1" s="1"/>
  <c r="R75" i="1"/>
  <c r="J75" i="1"/>
  <c r="I75" i="1"/>
  <c r="G75" i="1"/>
  <c r="F75" i="1"/>
  <c r="C75" i="1" s="1"/>
  <c r="W75" i="1" s="1"/>
  <c r="S74" i="1"/>
  <c r="Q74" i="1"/>
  <c r="K74" i="1"/>
  <c r="G74" i="1"/>
  <c r="D74" i="1" s="1"/>
  <c r="F74" i="1"/>
  <c r="C74" i="1" s="1"/>
  <c r="W74" i="1" s="1"/>
  <c r="N73" i="1"/>
  <c r="K73" i="1"/>
  <c r="H73" i="1"/>
  <c r="D73" i="1"/>
  <c r="C73" i="1"/>
  <c r="W73" i="1" s="1"/>
  <c r="Q55" i="1"/>
  <c r="D55" i="1"/>
  <c r="N72" i="1"/>
  <c r="K72" i="1"/>
  <c r="H72" i="1"/>
  <c r="D72" i="1"/>
  <c r="C72" i="1"/>
  <c r="W72" i="1" s="1"/>
  <c r="Q71" i="1"/>
  <c r="N71" i="1"/>
  <c r="K71" i="1"/>
  <c r="H71" i="1"/>
  <c r="D71" i="1"/>
  <c r="C71" i="1"/>
  <c r="W71" i="1" s="1"/>
  <c r="Q70" i="1"/>
  <c r="N70" i="1"/>
  <c r="K70" i="1"/>
  <c r="H70" i="1"/>
  <c r="D70" i="1"/>
  <c r="C70" i="1"/>
  <c r="W70" i="1" s="1"/>
  <c r="R68" i="1"/>
  <c r="J68" i="1"/>
  <c r="I68" i="1"/>
  <c r="C68" i="1" s="1"/>
  <c r="W68" i="1" s="1"/>
  <c r="G68" i="1"/>
  <c r="D68" i="1" s="1"/>
  <c r="F68" i="1"/>
  <c r="R67" i="1"/>
  <c r="Q67" i="1"/>
  <c r="J67" i="1"/>
  <c r="I67" i="1"/>
  <c r="G67" i="1"/>
  <c r="F67" i="1"/>
  <c r="Q65" i="1"/>
  <c r="N65" i="1"/>
  <c r="K65" i="1"/>
  <c r="H65" i="1"/>
  <c r="D65" i="1"/>
  <c r="C65" i="1"/>
  <c r="W65" i="1" s="1"/>
  <c r="R64" i="1"/>
  <c r="J64" i="1"/>
  <c r="K64" i="1" s="1"/>
  <c r="I64" i="1"/>
  <c r="G64" i="1"/>
  <c r="F64" i="1"/>
  <c r="R62" i="1"/>
  <c r="J62" i="1"/>
  <c r="K62" i="1" s="1"/>
  <c r="I62" i="1"/>
  <c r="G62" i="1"/>
  <c r="F62" i="1"/>
  <c r="C62" i="1" s="1"/>
  <c r="W62" i="1" s="1"/>
  <c r="N61" i="1"/>
  <c r="K61" i="1"/>
  <c r="H61" i="1"/>
  <c r="D61" i="1"/>
  <c r="C61" i="1"/>
  <c r="W61" i="1" s="1"/>
  <c r="R60" i="1"/>
  <c r="Q60" i="1"/>
  <c r="N60" i="1"/>
  <c r="J60" i="1"/>
  <c r="I60" i="1"/>
  <c r="G60" i="1"/>
  <c r="F60" i="1"/>
  <c r="Q56" i="1"/>
  <c r="L56" i="1"/>
  <c r="N57" i="1"/>
  <c r="K57" i="1"/>
  <c r="H57" i="1"/>
  <c r="D57" i="1"/>
  <c r="C57" i="1"/>
  <c r="W57" i="1" s="1"/>
  <c r="R54" i="1"/>
  <c r="Q54" i="1"/>
  <c r="M54" i="1"/>
  <c r="L54" i="1"/>
  <c r="J54" i="1"/>
  <c r="I54" i="1"/>
  <c r="G54" i="1"/>
  <c r="H54" i="1" s="1"/>
  <c r="F54" i="1"/>
  <c r="N53" i="1"/>
  <c r="K53" i="1"/>
  <c r="H53" i="1"/>
  <c r="D53" i="1"/>
  <c r="C53" i="1"/>
  <c r="W53" i="1" s="1"/>
  <c r="P35" i="1"/>
  <c r="O35" i="1"/>
  <c r="M35" i="1"/>
  <c r="D35" i="1" s="1"/>
  <c r="L35" i="1"/>
  <c r="N52" i="1"/>
  <c r="K52" i="1"/>
  <c r="H52" i="1"/>
  <c r="D52" i="1"/>
  <c r="C52" i="1"/>
  <c r="W52" i="1" s="1"/>
  <c r="R50" i="1"/>
  <c r="M50" i="1"/>
  <c r="L50" i="1"/>
  <c r="J50" i="1"/>
  <c r="I50" i="1"/>
  <c r="G50" i="1"/>
  <c r="H50" i="1" s="1"/>
  <c r="F50" i="1"/>
  <c r="C50" i="1" s="1"/>
  <c r="W50" i="1" s="1"/>
  <c r="Q49" i="1"/>
  <c r="N49" i="1"/>
  <c r="K49" i="1"/>
  <c r="H49" i="1"/>
  <c r="D49" i="1"/>
  <c r="C49" i="1"/>
  <c r="W49" i="1" s="1"/>
  <c r="Q48" i="1"/>
  <c r="N48" i="1"/>
  <c r="K48" i="1"/>
  <c r="H48" i="1"/>
  <c r="D48" i="1"/>
  <c r="C48" i="1"/>
  <c r="W48" i="1" s="1"/>
  <c r="R47" i="1"/>
  <c r="N47" i="1"/>
  <c r="J47" i="1"/>
  <c r="I47" i="1"/>
  <c r="K47" i="1" s="1"/>
  <c r="G47" i="1"/>
  <c r="D47" i="1" s="1"/>
  <c r="F47" i="1"/>
  <c r="R46" i="1"/>
  <c r="Q46" i="1"/>
  <c r="J46" i="1"/>
  <c r="I46" i="1"/>
  <c r="G46" i="1"/>
  <c r="F46" i="1"/>
  <c r="R45" i="1"/>
  <c r="M45" i="1"/>
  <c r="L45" i="1"/>
  <c r="J45" i="1"/>
  <c r="I45" i="1"/>
  <c r="G45" i="1"/>
  <c r="F45" i="1"/>
  <c r="Q44" i="1"/>
  <c r="N44" i="1"/>
  <c r="K44" i="1"/>
  <c r="H44" i="1"/>
  <c r="D44" i="1"/>
  <c r="C44" i="1"/>
  <c r="W44" i="1" s="1"/>
  <c r="S43" i="1"/>
  <c r="R43" i="1"/>
  <c r="P43" i="1"/>
  <c r="O43" i="1"/>
  <c r="J43" i="1"/>
  <c r="D43" i="1" s="1"/>
  <c r="I43" i="1"/>
  <c r="G43" i="1"/>
  <c r="F43" i="1"/>
  <c r="Q13" i="1"/>
  <c r="C13" i="1"/>
  <c r="W13" i="1" s="1"/>
  <c r="K13" i="1"/>
  <c r="R41" i="1"/>
  <c r="M41" i="1"/>
  <c r="N41" i="1" s="1"/>
  <c r="L41" i="1"/>
  <c r="J41" i="1"/>
  <c r="I41" i="1"/>
  <c r="K41" i="1" s="1"/>
  <c r="G41" i="1"/>
  <c r="F41" i="1"/>
  <c r="Q11" i="1"/>
  <c r="N11" i="1"/>
  <c r="K11" i="1"/>
  <c r="H11" i="1"/>
  <c r="Q40" i="1"/>
  <c r="N40" i="1"/>
  <c r="K40" i="1"/>
  <c r="H40" i="1"/>
  <c r="D40" i="1"/>
  <c r="C40" i="1"/>
  <c r="W40" i="1" s="1"/>
  <c r="S39" i="1"/>
  <c r="R39" i="1"/>
  <c r="Q39" i="1"/>
  <c r="J39" i="1"/>
  <c r="I39" i="1"/>
  <c r="G39" i="1"/>
  <c r="F39" i="1"/>
  <c r="H39" i="1" s="1"/>
  <c r="S38" i="1"/>
  <c r="R38" i="1"/>
  <c r="O38" i="1"/>
  <c r="Q38" i="1" s="1"/>
  <c r="M38" i="1"/>
  <c r="L38" i="1"/>
  <c r="N38" i="1" s="1"/>
  <c r="J38" i="1"/>
  <c r="K38" i="1" s="1"/>
  <c r="I38" i="1"/>
  <c r="G38" i="1"/>
  <c r="F38" i="1"/>
  <c r="R37" i="1"/>
  <c r="Q37" i="1"/>
  <c r="L37" i="1"/>
  <c r="N37" i="1" s="1"/>
  <c r="J37" i="1"/>
  <c r="I37" i="1"/>
  <c r="G37" i="1"/>
  <c r="F37" i="1"/>
  <c r="R36" i="1"/>
  <c r="M36" i="1"/>
  <c r="N36" i="1" s="1"/>
  <c r="J36" i="1"/>
  <c r="I36" i="1"/>
  <c r="G36" i="1"/>
  <c r="F36" i="1"/>
  <c r="C36" i="1" s="1"/>
  <c r="W36" i="1" s="1"/>
  <c r="Q16" i="1"/>
  <c r="N16" i="1"/>
  <c r="S33" i="1"/>
  <c r="R33" i="1"/>
  <c r="P33" i="1"/>
  <c r="O33" i="1"/>
  <c r="L33" i="1"/>
  <c r="J33" i="1"/>
  <c r="I33" i="1"/>
  <c r="G33" i="1"/>
  <c r="F33" i="1"/>
  <c r="N31" i="1"/>
  <c r="K31" i="1"/>
  <c r="H31" i="1"/>
  <c r="D31" i="1"/>
  <c r="C31" i="1"/>
  <c r="W31" i="1" s="1"/>
  <c r="Q30" i="1"/>
  <c r="N30" i="1"/>
  <c r="K30" i="1"/>
  <c r="H30" i="1"/>
  <c r="D30" i="1"/>
  <c r="C30" i="1"/>
  <c r="W30" i="1" s="1"/>
  <c r="N15" i="1"/>
  <c r="K15" i="1"/>
  <c r="Q29" i="1"/>
  <c r="N29" i="1"/>
  <c r="K29" i="1"/>
  <c r="H29" i="1"/>
  <c r="C29" i="1"/>
  <c r="W29" i="1" s="1"/>
  <c r="Q28" i="1"/>
  <c r="N28" i="1"/>
  <c r="K28" i="1"/>
  <c r="H28" i="1"/>
  <c r="D28" i="1"/>
  <c r="C28" i="1"/>
  <c r="W28" i="1" s="1"/>
  <c r="S27" i="1"/>
  <c r="R27" i="1"/>
  <c r="P27" i="1"/>
  <c r="O27" i="1"/>
  <c r="Q27" i="1" s="1"/>
  <c r="M27" i="1"/>
  <c r="L27" i="1"/>
  <c r="J27" i="1"/>
  <c r="I27" i="1"/>
  <c r="G27" i="1"/>
  <c r="F27" i="1"/>
  <c r="Q26" i="1"/>
  <c r="N26" i="1"/>
  <c r="K26" i="1"/>
  <c r="H26" i="1"/>
  <c r="D26" i="1"/>
  <c r="C26" i="1"/>
  <c r="W26" i="1" s="1"/>
  <c r="Q25" i="1"/>
  <c r="N25" i="1"/>
  <c r="K25" i="1"/>
  <c r="H25" i="1"/>
  <c r="D25" i="1"/>
  <c r="C25" i="1"/>
  <c r="W25" i="1" s="1"/>
  <c r="S24" i="1"/>
  <c r="P24" i="1"/>
  <c r="O24" i="1"/>
  <c r="M24" i="1"/>
  <c r="L24" i="1"/>
  <c r="F24" i="1"/>
  <c r="I24" i="1"/>
  <c r="K24" i="1" s="1"/>
  <c r="J24" i="1"/>
  <c r="G24" i="1"/>
  <c r="R23" i="1"/>
  <c r="Q23" i="1"/>
  <c r="L23" i="1"/>
  <c r="J23" i="1"/>
  <c r="I23" i="1"/>
  <c r="K23" i="1" s="1"/>
  <c r="G23" i="1"/>
  <c r="D23" i="1" s="1"/>
  <c r="F23" i="1"/>
  <c r="S22" i="1"/>
  <c r="P22" i="1"/>
  <c r="O22" i="1"/>
  <c r="N22" i="1"/>
  <c r="G22" i="1"/>
  <c r="F22" i="1"/>
  <c r="S21" i="1"/>
  <c r="R21" i="1"/>
  <c r="P21" i="1"/>
  <c r="O21" i="1"/>
  <c r="M21" i="1"/>
  <c r="G21" i="1"/>
  <c r="J21" i="1"/>
  <c r="L21" i="1"/>
  <c r="I21" i="1"/>
  <c r="F21" i="1"/>
  <c r="S19" i="1"/>
  <c r="R19" i="1"/>
  <c r="P19" i="1"/>
  <c r="O19" i="1"/>
  <c r="Q19" i="1" s="1"/>
  <c r="M19" i="1"/>
  <c r="L19" i="1"/>
  <c r="J19" i="1"/>
  <c r="I19" i="1"/>
  <c r="G19" i="1"/>
  <c r="F19" i="1"/>
  <c r="Q14" i="1"/>
  <c r="C14" i="1"/>
  <c r="W14" i="1" s="1"/>
  <c r="H14" i="1"/>
  <c r="Q18" i="1"/>
  <c r="N18" i="1"/>
  <c r="J18" i="1"/>
  <c r="D18" i="1" s="1"/>
  <c r="I18" i="1"/>
  <c r="C18" i="1" s="1"/>
  <c r="W18" i="1" s="1"/>
  <c r="H18" i="1"/>
  <c r="Q17" i="1"/>
  <c r="N17" i="1"/>
  <c r="K17" i="1"/>
  <c r="H17" i="1"/>
  <c r="D17" i="1"/>
  <c r="C17" i="1"/>
  <c r="W17" i="1" s="1"/>
  <c r="N9" i="1"/>
  <c r="K9" i="1"/>
  <c r="S12" i="1"/>
  <c r="R12" i="1"/>
  <c r="P12" i="1"/>
  <c r="Q12" i="1" s="1"/>
  <c r="M12" i="1"/>
  <c r="L12" i="1"/>
  <c r="J12" i="1"/>
  <c r="I12" i="1"/>
  <c r="G12" i="1"/>
  <c r="F12" i="1"/>
  <c r="R10" i="1"/>
  <c r="O10" i="1"/>
  <c r="Q10" i="1" s="1"/>
  <c r="N10" i="1"/>
  <c r="J10" i="1"/>
  <c r="I10" i="1"/>
  <c r="G10" i="1"/>
  <c r="D10" i="1" s="1"/>
  <c r="F10" i="1"/>
  <c r="S8" i="1"/>
  <c r="R8" i="1"/>
  <c r="P8" i="1"/>
  <c r="O8" i="1"/>
  <c r="M8" i="1"/>
  <c r="L8" i="1"/>
  <c r="J8" i="1"/>
  <c r="D8" i="1" s="1"/>
  <c r="I8" i="1"/>
  <c r="G8" i="1"/>
  <c r="F8" i="1"/>
  <c r="H8" i="1" s="1"/>
  <c r="S7" i="1"/>
  <c r="R7" i="1"/>
  <c r="P7" i="1"/>
  <c r="O7" i="1"/>
  <c r="M7" i="1"/>
  <c r="L7" i="1"/>
  <c r="J7" i="1"/>
  <c r="I7" i="1"/>
  <c r="G7" i="1"/>
  <c r="F7" i="1"/>
  <c r="S6" i="1"/>
  <c r="Q6" i="1"/>
  <c r="H6" i="1"/>
  <c r="K6" i="1"/>
  <c r="S5" i="1"/>
  <c r="Q5" i="1"/>
  <c r="N5" i="1"/>
  <c r="K5" i="1"/>
  <c r="H5" i="1"/>
  <c r="Q4" i="1"/>
  <c r="K4" i="1"/>
  <c r="S3" i="1"/>
  <c r="R3" i="1"/>
  <c r="P3" i="1"/>
  <c r="O3" i="1"/>
  <c r="M3" i="1"/>
  <c r="L3" i="1"/>
  <c r="J3" i="1"/>
  <c r="I3" i="1"/>
  <c r="G3" i="1"/>
  <c r="F3" i="1"/>
  <c r="D4" i="1"/>
  <c r="C5" i="1"/>
  <c r="W5" i="1" s="1"/>
  <c r="H16" i="1"/>
  <c r="D16" i="1"/>
  <c r="C11" i="1"/>
  <c r="W11" i="1" s="1"/>
  <c r="C20" i="1"/>
  <c r="W20" i="1" s="1"/>
  <c r="D5" i="1"/>
  <c r="D9" i="1"/>
  <c r="D11" i="1"/>
  <c r="D119" i="1"/>
  <c r="D121" i="1"/>
  <c r="H35" i="1"/>
  <c r="C55" i="1"/>
  <c r="W55" i="1" s="1"/>
  <c r="H41" i="1"/>
  <c r="H43" i="1"/>
  <c r="K12" i="1"/>
  <c r="N14" i="1"/>
  <c r="K35" i="1"/>
  <c r="D15" i="1"/>
  <c r="H100" i="1"/>
  <c r="D34" i="1"/>
  <c r="D100" i="1"/>
  <c r="K19" i="1"/>
  <c r="C58" i="1"/>
  <c r="W58" i="1" s="1"/>
  <c r="H58" i="1"/>
  <c r="C67" i="1"/>
  <c r="W67" i="1" s="1"/>
  <c r="C109" i="1"/>
  <c r="W109" i="1" s="1"/>
  <c r="K36" i="1"/>
  <c r="C35" i="1"/>
  <c r="W35" i="1" s="1"/>
  <c r="K58" i="1"/>
  <c r="D58" i="1"/>
  <c r="D37" i="1"/>
  <c r="N54" i="1"/>
  <c r="N6" i="1"/>
  <c r="D6" i="1"/>
  <c r="K34" i="1"/>
  <c r="N27" i="1"/>
  <c r="N8" i="1" l="1"/>
  <c r="K10" i="1"/>
  <c r="H23" i="1"/>
  <c r="K33" i="1"/>
  <c r="H45" i="1"/>
  <c r="D67" i="1"/>
  <c r="K68" i="1"/>
  <c r="C69" i="1"/>
  <c r="W69" i="1" s="1"/>
  <c r="C108" i="1"/>
  <c r="W108" i="1" s="1"/>
  <c r="K75" i="1"/>
  <c r="D56" i="1"/>
  <c r="K21" i="1"/>
  <c r="H27" i="1"/>
  <c r="Q33" i="1"/>
  <c r="N50" i="1"/>
  <c r="C24" i="1"/>
  <c r="W24" i="1" s="1"/>
  <c r="K7" i="1"/>
  <c r="D45" i="1"/>
  <c r="H47" i="1"/>
  <c r="D64" i="1"/>
  <c r="H10" i="1"/>
  <c r="H33" i="1"/>
  <c r="C27" i="1"/>
  <c r="W27" i="1" s="1"/>
  <c r="C121" i="1"/>
  <c r="W121" i="1" s="1"/>
  <c r="D41" i="1"/>
  <c r="Q24" i="1"/>
  <c r="Q35" i="1"/>
  <c r="N35" i="1"/>
  <c r="K3" i="1"/>
  <c r="H77" i="1"/>
  <c r="D12" i="1"/>
  <c r="C21" i="1"/>
  <c r="W21" i="1" s="1"/>
  <c r="C22" i="1"/>
  <c r="W22" i="1" s="1"/>
  <c r="C33" i="1"/>
  <c r="W33" i="1" s="1"/>
  <c r="D36" i="1"/>
  <c r="E36" i="1" s="1"/>
  <c r="D39" i="1"/>
  <c r="C43" i="1"/>
  <c r="W43" i="1" s="1"/>
  <c r="K45" i="1"/>
  <c r="K46" i="1"/>
  <c r="D62" i="1"/>
  <c r="H75" i="1"/>
  <c r="C100" i="1"/>
  <c r="W100" i="1" s="1"/>
  <c r="K22" i="1"/>
  <c r="H74" i="1"/>
  <c r="D108" i="1"/>
  <c r="E17" i="1"/>
  <c r="D7" i="1"/>
  <c r="E112" i="1"/>
  <c r="E90" i="1"/>
  <c r="N19" i="1"/>
  <c r="H22" i="1"/>
  <c r="E103" i="1"/>
  <c r="C10" i="1"/>
  <c r="W10" i="1" s="1"/>
  <c r="H12" i="1"/>
  <c r="H19" i="1"/>
  <c r="Q21" i="1"/>
  <c r="E84" i="1"/>
  <c r="C32" i="1"/>
  <c r="W32" i="1" s="1"/>
  <c r="K69" i="1"/>
  <c r="C41" i="1"/>
  <c r="W41" i="1" s="1"/>
  <c r="H21" i="1"/>
  <c r="C81" i="1"/>
  <c r="W81" i="1" s="1"/>
  <c r="E53" i="1"/>
  <c r="D22" i="1"/>
  <c r="K85" i="1"/>
  <c r="D21" i="1"/>
  <c r="E21" i="1" s="1"/>
  <c r="C3" i="1"/>
  <c r="W3" i="1" s="1"/>
  <c r="E48" i="1"/>
  <c r="D60" i="1"/>
  <c r="C64" i="1"/>
  <c r="H87" i="1"/>
  <c r="C89" i="1"/>
  <c r="W89" i="1" s="1"/>
  <c r="E116" i="1"/>
  <c r="D46" i="1"/>
  <c r="C8" i="1"/>
  <c r="W8" i="1" s="1"/>
  <c r="N7" i="1"/>
  <c r="K43" i="1"/>
  <c r="D54" i="1"/>
  <c r="N32" i="1"/>
  <c r="D75" i="1"/>
  <c r="E75" i="1" s="1"/>
  <c r="C19" i="1"/>
  <c r="W19" i="1" s="1"/>
  <c r="H24" i="1"/>
  <c r="K27" i="1"/>
  <c r="D33" i="1"/>
  <c r="E33" i="1" s="1"/>
  <c r="H37" i="1"/>
  <c r="H38" i="1"/>
  <c r="Q43" i="1"/>
  <c r="C46" i="1"/>
  <c r="W46" i="1" s="1"/>
  <c r="C47" i="1"/>
  <c r="W47" i="1" s="1"/>
  <c r="E86" i="1"/>
  <c r="E101" i="1"/>
  <c r="K81" i="1"/>
  <c r="K108" i="1"/>
  <c r="N3" i="1"/>
  <c r="C7" i="1"/>
  <c r="W7" i="1" s="1"/>
  <c r="S127" i="1"/>
  <c r="E82" i="1"/>
  <c r="E94" i="1"/>
  <c r="E63" i="1"/>
  <c r="E106" i="1"/>
  <c r="E107" i="1"/>
  <c r="E104" i="1"/>
  <c r="E117" i="1"/>
  <c r="E85" i="1"/>
  <c r="E91" i="1"/>
  <c r="E83" i="1"/>
  <c r="E114" i="1"/>
  <c r="E98" i="1"/>
  <c r="E102" i="1"/>
  <c r="E113" i="1"/>
  <c r="E99" i="1"/>
  <c r="E119" i="1"/>
  <c r="E95" i="1"/>
  <c r="E118" i="1"/>
  <c r="E70" i="1"/>
  <c r="E79" i="1"/>
  <c r="E58" i="1"/>
  <c r="E65" i="1"/>
  <c r="E77" i="1"/>
  <c r="E61" i="1"/>
  <c r="E78" i="1"/>
  <c r="E34" i="1"/>
  <c r="E66" i="1"/>
  <c r="E73" i="1"/>
  <c r="E67" i="1"/>
  <c r="E26" i="1"/>
  <c r="E28" i="1"/>
  <c r="E25" i="1"/>
  <c r="E44" i="1"/>
  <c r="E30" i="1"/>
  <c r="E31" i="1"/>
  <c r="E35" i="1"/>
  <c r="E121" i="1"/>
  <c r="E8" i="1"/>
  <c r="E41" i="1"/>
  <c r="E62" i="1"/>
  <c r="H3" i="1"/>
  <c r="C37" i="1"/>
  <c r="E71" i="1"/>
  <c r="K18" i="1"/>
  <c r="O127" i="1"/>
  <c r="C38" i="1"/>
  <c r="W38" i="1" s="1"/>
  <c r="C54" i="1"/>
  <c r="W54" i="1" s="1"/>
  <c r="E57" i="1"/>
  <c r="C60" i="1"/>
  <c r="W60" i="1" s="1"/>
  <c r="E93" i="1"/>
  <c r="K32" i="1"/>
  <c r="H66" i="1"/>
  <c r="K39" i="1"/>
  <c r="P127" i="1"/>
  <c r="K37" i="1"/>
  <c r="K89" i="1"/>
  <c r="M127" i="1"/>
  <c r="N127" i="1" s="1"/>
  <c r="H60" i="1"/>
  <c r="C124" i="1"/>
  <c r="W124" i="1" s="1"/>
  <c r="C56" i="1"/>
  <c r="W56" i="1" s="1"/>
  <c r="G127" i="1"/>
  <c r="H127" i="1" s="1"/>
  <c r="K8" i="1"/>
  <c r="E49" i="1"/>
  <c r="K50" i="1"/>
  <c r="E96" i="1"/>
  <c r="D81" i="1"/>
  <c r="D27" i="1"/>
  <c r="D38" i="1"/>
  <c r="E111" i="1"/>
  <c r="D3" i="1"/>
  <c r="E80" i="1"/>
  <c r="Q7" i="1"/>
  <c r="C23" i="1"/>
  <c r="W23" i="1" s="1"/>
  <c r="N24" i="1"/>
  <c r="N45" i="1"/>
  <c r="E74" i="1"/>
  <c r="E105" i="1"/>
  <c r="D88" i="1"/>
  <c r="E88" i="1" s="1"/>
  <c r="J127" i="1"/>
  <c r="K127" i="1" s="1"/>
  <c r="H46" i="1"/>
  <c r="K93" i="1"/>
  <c r="E72" i="1"/>
  <c r="E68" i="1"/>
  <c r="K83" i="1"/>
  <c r="Q22" i="1"/>
  <c r="H32" i="1"/>
  <c r="H69" i="1"/>
  <c r="E52" i="1"/>
  <c r="R127" i="1"/>
  <c r="Q8" i="1"/>
  <c r="N12" i="1"/>
  <c r="E40" i="1"/>
  <c r="C123" i="1"/>
  <c r="E109" i="1"/>
  <c r="E92" i="1"/>
  <c r="E55" i="1"/>
  <c r="E15" i="1"/>
  <c r="E5" i="1"/>
  <c r="E11" i="1"/>
  <c r="E9" i="1"/>
  <c r="E4" i="1"/>
  <c r="E18" i="1"/>
  <c r="E120" i="1"/>
  <c r="H36" i="1"/>
  <c r="D50" i="1"/>
  <c r="E50" i="1" s="1"/>
  <c r="H9" i="1"/>
  <c r="N23" i="1"/>
  <c r="D87" i="1"/>
  <c r="E87" i="1" s="1"/>
  <c r="K100" i="1"/>
  <c r="K54" i="1"/>
  <c r="C12" i="1"/>
  <c r="W12" i="1" s="1"/>
  <c r="Q3" i="1"/>
  <c r="D13" i="1"/>
  <c r="E13" i="1" s="1"/>
  <c r="E29" i="1"/>
  <c r="D19" i="1"/>
  <c r="D69" i="1"/>
  <c r="H109" i="1"/>
  <c r="D24" i="1"/>
  <c r="E24" i="1" s="1"/>
  <c r="N13" i="1"/>
  <c r="C39" i="1"/>
  <c r="W39" i="1" s="1"/>
  <c r="D128" i="1"/>
  <c r="E128" i="1" s="1"/>
  <c r="D32" i="1"/>
  <c r="D42" i="1"/>
  <c r="E42" i="1" s="1"/>
  <c r="D51" i="1"/>
  <c r="E51" i="1" s="1"/>
  <c r="C45" i="1"/>
  <c r="W45" i="1" s="1"/>
  <c r="K14" i="1"/>
  <c r="C16" i="1"/>
  <c r="W16" i="1" s="1"/>
  <c r="D20" i="1"/>
  <c r="E20" i="1" s="1"/>
  <c r="E97" i="1"/>
  <c r="H7" i="1"/>
  <c r="K60" i="1"/>
  <c r="C6" i="1"/>
  <c r="W6" i="1" s="1"/>
  <c r="H4" i="1"/>
  <c r="H64" i="1"/>
  <c r="H56" i="1"/>
  <c r="D14" i="1"/>
  <c r="E14" i="1" s="1"/>
  <c r="E38" i="1" l="1"/>
  <c r="E47" i="1"/>
  <c r="E22" i="1"/>
  <c r="E108" i="1"/>
  <c r="E69" i="1"/>
  <c r="E123" i="1"/>
  <c r="W123" i="1"/>
  <c r="E3" i="1"/>
  <c r="D127" i="1"/>
  <c r="E127" i="1" s="1"/>
  <c r="E27" i="1"/>
  <c r="E37" i="1"/>
  <c r="W37" i="1"/>
  <c r="E64" i="1"/>
  <c r="W64" i="1"/>
  <c r="E100" i="1"/>
  <c r="E10" i="1"/>
  <c r="E32" i="1"/>
  <c r="E7" i="1"/>
  <c r="E43" i="1"/>
  <c r="E46" i="1"/>
  <c r="E81" i="1"/>
  <c r="E54" i="1"/>
  <c r="E19" i="1"/>
  <c r="E89" i="1"/>
  <c r="Q127" i="1"/>
  <c r="E56" i="1"/>
  <c r="E23" i="1"/>
  <c r="E124" i="1"/>
  <c r="E60" i="1"/>
  <c r="E16" i="1"/>
  <c r="E45" i="1"/>
  <c r="E39" i="1"/>
  <c r="E6" i="1"/>
  <c r="E12" i="1"/>
</calcChain>
</file>

<file path=xl/sharedStrings.xml><?xml version="1.0" encoding="utf-8"?>
<sst xmlns="http://schemas.openxmlformats.org/spreadsheetml/2006/main" count="177" uniqueCount="167">
  <si>
    <t>Totaal</t>
  </si>
  <si>
    <t>Zaalcompetitie</t>
  </si>
  <si>
    <t>Veldcompetitie</t>
  </si>
  <si>
    <t>Bekercompetitie</t>
  </si>
  <si>
    <t>Penalties</t>
  </si>
  <si>
    <t>Vorig</t>
  </si>
  <si>
    <t>Niet get. Wed.</t>
  </si>
  <si>
    <t>tot wed</t>
  </si>
  <si>
    <t>Naam</t>
  </si>
  <si>
    <t>Wedstr.</t>
  </si>
  <si>
    <t>Doelp.</t>
  </si>
  <si>
    <t>Gem.</t>
  </si>
  <si>
    <t>Tot.</t>
  </si>
  <si>
    <t>Raak</t>
  </si>
  <si>
    <t>%</t>
  </si>
  <si>
    <t>2 min</t>
  </si>
  <si>
    <t>rood</t>
  </si>
  <si>
    <t>jaar</t>
  </si>
  <si>
    <t>seiz. 13-14</t>
  </si>
  <si>
    <t>Stefan Vink</t>
  </si>
  <si>
    <t>Dave Oehler</t>
  </si>
  <si>
    <t>Jordy de la Cour</t>
  </si>
  <si>
    <t>Michael Visser</t>
  </si>
  <si>
    <t>Rob de Bruin</t>
  </si>
  <si>
    <t>Rene Korsse</t>
  </si>
  <si>
    <t>Milo Oehler</t>
  </si>
  <si>
    <t>Richard Vink</t>
  </si>
  <si>
    <t>Robin van de Boog</t>
  </si>
  <si>
    <t>Rene Gijsen</t>
  </si>
  <si>
    <t>Jan Hoekzema</t>
  </si>
  <si>
    <t>Jacob Willig</t>
  </si>
  <si>
    <t>Marco Visser</t>
  </si>
  <si>
    <t>Tom Bart</t>
  </si>
  <si>
    <t>Nick Poggenklaas</t>
  </si>
  <si>
    <t>Hans Polderman</t>
  </si>
  <si>
    <t>Silvon Keijzer</t>
  </si>
  <si>
    <t>Jan v.d. Pijl</t>
  </si>
  <si>
    <t>Mark Geugjes</t>
  </si>
  <si>
    <t>Timo Rutgers</t>
  </si>
  <si>
    <t>Enrico de Vries</t>
  </si>
  <si>
    <t>Jan Roest</t>
  </si>
  <si>
    <t>Bas v. Lienen</t>
  </si>
  <si>
    <t>Arjan Meijer</t>
  </si>
  <si>
    <t>Koos Hoekzema</t>
  </si>
  <si>
    <t>Wesley Heinis</t>
  </si>
  <si>
    <t>Dian Vuur</t>
  </si>
  <si>
    <t>Jeroen Homma</t>
  </si>
  <si>
    <t>Emiel Bakker</t>
  </si>
  <si>
    <t>Patrick de Vries</t>
  </si>
  <si>
    <t>Michiel Heurter</t>
  </si>
  <si>
    <t>Tiddo Lutjeboer</t>
  </si>
  <si>
    <t>Jasper Dielemans</t>
  </si>
  <si>
    <t>Vincent Koole</t>
  </si>
  <si>
    <t>Wouter v. Lienen</t>
  </si>
  <si>
    <t>Sam de Vries</t>
  </si>
  <si>
    <t>Bjorn Mulder</t>
  </si>
  <si>
    <t>Ruben Visser</t>
  </si>
  <si>
    <t>Joey Silva</t>
  </si>
  <si>
    <t>Mark Hoogland</t>
  </si>
  <si>
    <t>Eric v.Es</t>
  </si>
  <si>
    <t>Peter Pijnacker</t>
  </si>
  <si>
    <t>Richard Moed</t>
  </si>
  <si>
    <t>Geert v.d. Berg</t>
  </si>
  <si>
    <t>Clenn Keijzer</t>
  </si>
  <si>
    <t>Hein Megens</t>
  </si>
  <si>
    <t>Jeroen Happe</t>
  </si>
  <si>
    <t>Eric Hissink</t>
  </si>
  <si>
    <t>Robbert-Jan Pennekamp</t>
  </si>
  <si>
    <t>Tom Bestevaer</t>
  </si>
  <si>
    <t>Pillip Lukens</t>
  </si>
  <si>
    <t>Elroy van Elsacker</t>
  </si>
  <si>
    <t>Jaap Faber</t>
  </si>
  <si>
    <t>Robert Heller</t>
  </si>
  <si>
    <t>Dennis Slemmer</t>
  </si>
  <si>
    <t>Mitchell Borst</t>
  </si>
  <si>
    <t>Dennie van Noort</t>
  </si>
  <si>
    <t>Mario Betting</t>
  </si>
  <si>
    <t>John v. Uden</t>
  </si>
  <si>
    <t>Twann Daman</t>
  </si>
  <si>
    <t>Johan v.d. Broek</t>
  </si>
  <si>
    <t>Lex Keijzer</t>
  </si>
  <si>
    <t>Joop Schwalbach</t>
  </si>
  <si>
    <t>Ben Klijn</t>
  </si>
  <si>
    <t>Jeroen Koekoek</t>
  </si>
  <si>
    <t>Paul Kruyshaar</t>
  </si>
  <si>
    <t>Bram v. Dijk</t>
  </si>
  <si>
    <t>Sander Meijer</t>
  </si>
  <si>
    <t>Bert Houthuyse</t>
  </si>
  <si>
    <t>Ronald Douma</t>
  </si>
  <si>
    <t>Alex de Sousa</t>
  </si>
  <si>
    <t>Mitchel Vriend</t>
  </si>
  <si>
    <t>Martijn Dekker</t>
  </si>
  <si>
    <t>Marcel Roos</t>
  </si>
  <si>
    <t>Vincent Naber</t>
  </si>
  <si>
    <t>Roel Assenmacher</t>
  </si>
  <si>
    <t>Joran Middelberg</t>
  </si>
  <si>
    <t>Bonne Bakker</t>
  </si>
  <si>
    <t>Marc Rietvink</t>
  </si>
  <si>
    <t>Marco Tel</t>
  </si>
  <si>
    <t>Ronald v. Lienen</t>
  </si>
  <si>
    <t>Ad de Boer</t>
  </si>
  <si>
    <t>Cees Hageman</t>
  </si>
  <si>
    <t>Arend Potjegort</t>
  </si>
  <si>
    <t>Steef van Ee</t>
  </si>
  <si>
    <t>Lex Scipio</t>
  </si>
  <si>
    <t>Johan Jansen</t>
  </si>
  <si>
    <t>Janos Palusz</t>
  </si>
  <si>
    <t>Jan Vos</t>
  </si>
  <si>
    <t>Meine Jager</t>
  </si>
  <si>
    <t>Dirk Bood</t>
  </si>
  <si>
    <t>Ruud Holkamp</t>
  </si>
  <si>
    <t>Marco Cammenga</t>
  </si>
  <si>
    <t>Jeffrey v.h. Hof</t>
  </si>
  <si>
    <t>Herman Groot</t>
  </si>
  <si>
    <t>Edwin Jansen</t>
  </si>
  <si>
    <t>Peter Bood</t>
  </si>
  <si>
    <t>Jaap Jager</t>
  </si>
  <si>
    <t>Glenn Kitzen</t>
  </si>
  <si>
    <t>Jordy Wessels</t>
  </si>
  <si>
    <t>David Collas</t>
  </si>
  <si>
    <t>Dennis Visser</t>
  </si>
  <si>
    <t>Eigen doelpunt</t>
  </si>
  <si>
    <t>Team</t>
  </si>
  <si>
    <t>Tegenstanders</t>
  </si>
  <si>
    <t>Maikel Dielemans</t>
  </si>
  <si>
    <t>Ted</t>
  </si>
  <si>
    <t>Sipke van 't Klooster</t>
  </si>
  <si>
    <t>Jorrit Kalter</t>
  </si>
  <si>
    <t>Michael Lijffijt</t>
  </si>
  <si>
    <t>Wouter Stam</t>
  </si>
  <si>
    <t>Allaa Ibrahim</t>
  </si>
  <si>
    <t>Storm Out</t>
  </si>
  <si>
    <t>GertJan Wals</t>
  </si>
  <si>
    <t>Geert Brinkman</t>
  </si>
  <si>
    <t>Julian Eken</t>
  </si>
  <si>
    <t>77 (-1)</t>
  </si>
  <si>
    <t>Marc Eshuijs</t>
  </si>
  <si>
    <t>Niels Kalter</t>
  </si>
  <si>
    <t>Tim Scherjon</t>
  </si>
  <si>
    <t>14 (-0)</t>
  </si>
  <si>
    <t>18 (-0)</t>
  </si>
  <si>
    <t>38 (-6)</t>
  </si>
  <si>
    <t>43 (-4)</t>
  </si>
  <si>
    <t>Thomas Vels</t>
  </si>
  <si>
    <t>Toon v.d.Berg</t>
  </si>
  <si>
    <t>10 (-1)</t>
  </si>
  <si>
    <t>12 (-1)</t>
  </si>
  <si>
    <t>13 (-0)</t>
  </si>
  <si>
    <t>48 (-16)</t>
  </si>
  <si>
    <t>50 (-1)</t>
  </si>
  <si>
    <t>53 (-0)</t>
  </si>
  <si>
    <t>60 (-4)</t>
  </si>
  <si>
    <t>90 (-4)</t>
  </si>
  <si>
    <t>106 (+1)</t>
  </si>
  <si>
    <t>2 (+0)</t>
  </si>
  <si>
    <t>3 (+0)</t>
  </si>
  <si>
    <t>7 (+0)</t>
  </si>
  <si>
    <t>Sem Lacaris</t>
  </si>
  <si>
    <t>Wilco Oostveen</t>
  </si>
  <si>
    <t>96 (-35)</t>
  </si>
  <si>
    <t>74 (-10)</t>
  </si>
  <si>
    <t>nw (-47)</t>
  </si>
  <si>
    <t>seiz. 22-23</t>
  </si>
  <si>
    <t xml:space="preserve">nw (10)    </t>
  </si>
  <si>
    <t>Rick Kroezen</t>
  </si>
  <si>
    <t>Michael Zaaijer</t>
  </si>
  <si>
    <t>Timo Wielenga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</si>
</sst>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3" fillId="0" borderId="3" xfId="3" applyFont="1" applyBorder="1" applyAlignment="1">
      <alignment horizontal="left" vertical="center"/>
    </xf>
    <xf numFmtId="0" fontId="3" fillId="0" borderId="3" xfId="3" applyFont="1" applyBorder="1" applyAlignment="1">
      <alignment vertical="center"/>
    </xf>
    <xf numFmtId="2" fontId="3" fillId="0" borderId="3" xfId="3" applyNumberFormat="1" applyFont="1" applyBorder="1" applyAlignment="1">
      <alignment vertical="center"/>
    </xf>
    <xf numFmtId="9" fontId="3" fillId="0" borderId="3" xfId="3" applyNumberFormat="1" applyFont="1" applyBorder="1" applyAlignment="1">
      <alignment vertical="center"/>
    </xf>
    <xf numFmtId="0" fontId="3" fillId="0" borderId="2" xfId="3" applyFont="1" applyBorder="1" applyAlignment="1">
      <alignment horizontal="left" vertical="center"/>
    </xf>
    <xf numFmtId="2" fontId="3" fillId="0" borderId="2" xfId="3" applyNumberFormat="1" applyFont="1" applyBorder="1" applyAlignment="1">
      <alignment vertical="center"/>
    </xf>
    <xf numFmtId="0" fontId="3" fillId="0" borderId="2" xfId="3" applyFont="1" applyBorder="1" applyAlignment="1">
      <alignment vertical="center"/>
    </xf>
    <xf numFmtId="9" fontId="3" fillId="0" borderId="2" xfId="3" applyNumberFormat="1" applyFont="1" applyBorder="1" applyAlignment="1">
      <alignment vertical="center"/>
    </xf>
    <xf numFmtId="0" fontId="3" fillId="0" borderId="0" xfId="0" applyFont="1"/>
    <xf numFmtId="0" fontId="6" fillId="0" borderId="0" xfId="3" applyFont="1" applyAlignment="1">
      <alignment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9" fontId="6" fillId="0" borderId="2" xfId="3" applyNumberFormat="1" applyFont="1" applyBorder="1" applyAlignment="1">
      <alignment vertical="center"/>
    </xf>
    <xf numFmtId="0" fontId="4" fillId="2" borderId="6" xfId="3" applyFont="1" applyFill="1" applyBorder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6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0" fillId="0" borderId="2" xfId="0" applyBorder="1"/>
    <xf numFmtId="0" fontId="3" fillId="0" borderId="2" xfId="0" applyFont="1" applyBorder="1"/>
    <xf numFmtId="0" fontId="4" fillId="0" borderId="8" xfId="3" applyFont="1" applyBorder="1" applyAlignment="1">
      <alignment vertical="center" wrapText="1"/>
    </xf>
    <xf numFmtId="0" fontId="0" fillId="0" borderId="12" xfId="0" applyBorder="1"/>
    <xf numFmtId="0" fontId="3" fillId="0" borderId="11" xfId="0" applyFont="1" applyBorder="1"/>
    <xf numFmtId="0" fontId="3" fillId="0" borderId="11" xfId="3" applyFont="1" applyBorder="1" applyAlignment="1">
      <alignment vertical="center"/>
    </xf>
    <xf numFmtId="0" fontId="3" fillId="0" borderId="13" xfId="0" applyFont="1" applyBorder="1"/>
    <xf numFmtId="0" fontId="4" fillId="0" borderId="11" xfId="0" applyFont="1" applyBorder="1"/>
    <xf numFmtId="0" fontId="7" fillId="0" borderId="2" xfId="0" applyFont="1" applyBorder="1"/>
    <xf numFmtId="0" fontId="3" fillId="0" borderId="14" xfId="0" applyFont="1" applyBorder="1"/>
    <xf numFmtId="0" fontId="3" fillId="0" borderId="0" xfId="1" applyFont="1"/>
    <xf numFmtId="164" fontId="3" fillId="0" borderId="0" xfId="0" applyNumberFormat="1" applyFont="1"/>
    <xf numFmtId="0" fontId="3" fillId="0" borderId="12" xfId="0" applyFont="1" applyBorder="1"/>
    <xf numFmtId="10" fontId="3" fillId="0" borderId="0" xfId="2" applyNumberFormat="1" applyFont="1" applyBorder="1"/>
    <xf numFmtId="0" fontId="3" fillId="0" borderId="15" xfId="0" applyFont="1" applyBorder="1"/>
    <xf numFmtId="0" fontId="3" fillId="0" borderId="11" xfId="0" quotePrefix="1" applyFont="1" applyBorder="1"/>
    <xf numFmtId="0" fontId="3" fillId="0" borderId="0" xfId="1" quotePrefix="1" applyFont="1"/>
    <xf numFmtId="9" fontId="3" fillId="0" borderId="0" xfId="2" applyFont="1" applyBorder="1"/>
    <xf numFmtId="0" fontId="4" fillId="0" borderId="0" xfId="0" applyFont="1"/>
    <xf numFmtId="0" fontId="3" fillId="0" borderId="0" xfId="0" quotePrefix="1" applyFont="1"/>
    <xf numFmtId="164" fontId="3" fillId="0" borderId="2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2" xfId="3" applyFont="1" applyBorder="1" applyAlignment="1">
      <alignment horizontal="left" vertical="center"/>
    </xf>
    <xf numFmtId="0" fontId="4" fillId="0" borderId="18" xfId="3" applyFont="1" applyBorder="1" applyAlignment="1">
      <alignment horizontal="left" vertical="center"/>
    </xf>
    <xf numFmtId="9" fontId="3" fillId="0" borderId="2" xfId="2" applyFont="1" applyBorder="1" applyAlignment="1" applyProtection="1">
      <alignment vertical="center"/>
    </xf>
    <xf numFmtId="0" fontId="3" fillId="0" borderId="18" xfId="3" applyFont="1" applyBorder="1" applyAlignment="1">
      <alignment horizontal="left" vertical="center"/>
    </xf>
    <xf numFmtId="0" fontId="0" fillId="0" borderId="14" xfId="0" applyBorder="1"/>
    <xf numFmtId="0" fontId="4" fillId="0" borderId="19" xfId="3" applyFont="1" applyBorder="1" applyAlignment="1">
      <alignment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2" borderId="9" xfId="3" applyFont="1" applyFill="1" applyBorder="1" applyAlignment="1">
      <alignment horizontal="center" vertical="center"/>
    </xf>
    <xf numFmtId="0" fontId="0" fillId="0" borderId="10" xfId="0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3" fillId="0" borderId="0" xfId="1" applyFont="1" applyBorder="1"/>
    <xf numFmtId="164" fontId="3" fillId="0" borderId="0" xfId="0" applyNumberFormat="1" applyFont="1" applyBorder="1"/>
    <xf numFmtId="0" fontId="3" fillId="0" borderId="0" xfId="1" quotePrefix="1" applyFont="1" applyBorder="1"/>
    <xf numFmtId="1" fontId="3" fillId="0" borderId="0" xfId="0" applyNumberFormat="1" applyFont="1" applyBorder="1"/>
  </cellXfs>
  <cellStyles count="4">
    <cellStyle name="Normal" xfId="0" builtinId="0"/>
    <cellStyle name="Normal_Sheet1" xfId="1" xr:uid="{00000000-0005-0000-0000-000000000000}"/>
    <cellStyle name="Percent" xfId="2" builtinId="5"/>
    <cellStyle name="Standaard_seizoen 81-0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9"/>
  <sheetViews>
    <sheetView tabSelected="1" workbookViewId="0">
      <selection activeCell="Z16" sqref="Z16"/>
    </sheetView>
  </sheetViews>
  <sheetFormatPr defaultRowHeight="12.75" x14ac:dyDescent="0.2"/>
  <cols>
    <col min="1" max="1" width="4.42578125" bestFit="1" customWidth="1"/>
    <col min="2" max="2" width="21.42578125" customWidth="1"/>
    <col min="3" max="3" width="7.28515625" bestFit="1" customWidth="1"/>
    <col min="4" max="4" width="6.5703125" bestFit="1" customWidth="1"/>
    <col min="5" max="6" width="7.28515625" bestFit="1" customWidth="1"/>
    <col min="7" max="7" width="5.7109375" customWidth="1"/>
    <col min="8" max="8" width="6.5703125" customWidth="1"/>
    <col min="9" max="9" width="6.85546875" customWidth="1"/>
    <col min="10" max="10" width="6.140625" customWidth="1"/>
    <col min="11" max="11" width="5.5703125" customWidth="1"/>
    <col min="12" max="13" width="6.85546875" customWidth="1"/>
    <col min="14" max="14" width="5.5703125" customWidth="1"/>
    <col min="15" max="15" width="4.5703125" bestFit="1" customWidth="1"/>
    <col min="16" max="17" width="7" customWidth="1"/>
    <col min="18" max="18" width="8.28515625" bestFit="1" customWidth="1"/>
    <col min="19" max="19" width="8.85546875" bestFit="1" customWidth="1"/>
    <col min="20" max="20" width="7" customWidth="1"/>
    <col min="21" max="22" width="11.7109375" bestFit="1" customWidth="1"/>
    <col min="23" max="23" width="7" bestFit="1" customWidth="1"/>
  </cols>
  <sheetData>
    <row r="1" spans="1:24" ht="13.5" thickBot="1" x14ac:dyDescent="0.25">
      <c r="A1" s="1"/>
      <c r="B1" s="15"/>
      <c r="C1" s="16"/>
      <c r="D1" s="2" t="s">
        <v>0</v>
      </c>
      <c r="E1" s="17"/>
      <c r="F1" s="16"/>
      <c r="G1" s="2" t="s">
        <v>1</v>
      </c>
      <c r="H1" s="17"/>
      <c r="I1" s="16"/>
      <c r="J1" s="2" t="s">
        <v>2</v>
      </c>
      <c r="K1" s="17"/>
      <c r="L1" s="16"/>
      <c r="M1" s="2" t="s">
        <v>3</v>
      </c>
      <c r="N1" s="17"/>
      <c r="O1" s="16"/>
      <c r="P1" s="2" t="s">
        <v>4</v>
      </c>
      <c r="Q1" s="17"/>
      <c r="R1" s="15"/>
      <c r="S1" s="15"/>
      <c r="T1" s="51" t="s">
        <v>5</v>
      </c>
      <c r="U1" s="52" t="s">
        <v>6</v>
      </c>
      <c r="V1" s="52" t="s">
        <v>6</v>
      </c>
      <c r="W1" s="53" t="s">
        <v>7</v>
      </c>
    </row>
    <row r="2" spans="1:24" x14ac:dyDescent="0.2">
      <c r="A2" s="1"/>
      <c r="B2" s="3" t="s">
        <v>8</v>
      </c>
      <c r="C2" s="3" t="s">
        <v>9</v>
      </c>
      <c r="D2" s="3" t="s">
        <v>10</v>
      </c>
      <c r="E2" s="4" t="s">
        <v>11</v>
      </c>
      <c r="F2" s="3" t="s">
        <v>9</v>
      </c>
      <c r="G2" s="3" t="s">
        <v>10</v>
      </c>
      <c r="H2" s="4" t="s">
        <v>11</v>
      </c>
      <c r="I2" s="3" t="s">
        <v>9</v>
      </c>
      <c r="J2" s="3" t="s">
        <v>10</v>
      </c>
      <c r="K2" s="4" t="s">
        <v>11</v>
      </c>
      <c r="L2" s="3" t="s">
        <v>9</v>
      </c>
      <c r="M2" s="3" t="s">
        <v>10</v>
      </c>
      <c r="N2" s="4" t="s">
        <v>11</v>
      </c>
      <c r="O2" s="5" t="s">
        <v>12</v>
      </c>
      <c r="P2" s="5" t="s">
        <v>13</v>
      </c>
      <c r="Q2" s="5" t="s">
        <v>14</v>
      </c>
      <c r="R2" s="3" t="s">
        <v>15</v>
      </c>
      <c r="S2" s="20" t="s">
        <v>16</v>
      </c>
      <c r="T2" s="26" t="s">
        <v>17</v>
      </c>
      <c r="U2" s="54" t="s">
        <v>18</v>
      </c>
      <c r="V2" s="54" t="s">
        <v>162</v>
      </c>
      <c r="W2" s="55"/>
    </row>
    <row r="3" spans="1:24" x14ac:dyDescent="0.2">
      <c r="A3" s="1">
        <v>1</v>
      </c>
      <c r="B3" s="6" t="s">
        <v>19</v>
      </c>
      <c r="C3" s="7">
        <f t="shared" ref="C3:C8" si="0">+F3+I3+L3</f>
        <v>528</v>
      </c>
      <c r="D3" s="7">
        <f t="shared" ref="D3:D8" si="1">+G3+J3+M3</f>
        <v>4355</v>
      </c>
      <c r="E3" s="8">
        <f t="shared" ref="E3:E8" si="2">D3/C3</f>
        <v>8.2481060606060606</v>
      </c>
      <c r="F3" s="7">
        <f>54+18+18+17+16+18+15+17+17+17+17+16+1+21+2+19+18</f>
        <v>301</v>
      </c>
      <c r="G3" s="7">
        <f>276+143+148+155+144+160+147+154+175+158+175+156+6+100+9+141+140</f>
        <v>2387</v>
      </c>
      <c r="H3" s="8">
        <f t="shared" ref="H3:H8" si="3">G3/F3</f>
        <v>7.9302325581395348</v>
      </c>
      <c r="I3" s="7">
        <f>72+13+12+14+14+11+12+9+12+14+4+4+7+10</f>
        <v>208</v>
      </c>
      <c r="J3" s="7">
        <f>261+120+141+139+114+122+142+110+131+83+120+139+35+18+45+64</f>
        <v>1784</v>
      </c>
      <c r="K3" s="8">
        <f t="shared" ref="K3:K8" si="4">J3/I3</f>
        <v>8.5769230769230766</v>
      </c>
      <c r="L3" s="7">
        <f>7+1+3+1+1+1+1+3+1</f>
        <v>19</v>
      </c>
      <c r="M3" s="7">
        <f>59+7+31+17+9+8+7+32+14</f>
        <v>184</v>
      </c>
      <c r="N3" s="8">
        <f t="shared" ref="N3:N8" si="5">M3/L3</f>
        <v>9.6842105263157894</v>
      </c>
      <c r="O3" s="7">
        <f>155+15+11+19+38+39+37+69+97+16+22+1+23+27</f>
        <v>569</v>
      </c>
      <c r="P3" s="7">
        <f>128+13+8+15+34+31+28+55+80+13+17+21+24</f>
        <v>467</v>
      </c>
      <c r="Q3" s="9">
        <f t="shared" ref="Q3:Q8" si="6">P3/O3</f>
        <v>0.82073813708260102</v>
      </c>
      <c r="R3" s="7">
        <f>33+8+8+7+6+14+7+3+7+9+1+14+2+6+5</f>
        <v>130</v>
      </c>
      <c r="S3" s="21">
        <f>2+1+2+1</f>
        <v>6</v>
      </c>
      <c r="T3" s="28"/>
      <c r="U3" s="25">
        <v>1</v>
      </c>
      <c r="V3" s="24"/>
      <c r="W3" s="36">
        <f t="shared" ref="W3:W34" si="7">C3+U3+V3</f>
        <v>529</v>
      </c>
      <c r="X3" s="1"/>
    </row>
    <row r="4" spans="1:24" x14ac:dyDescent="0.2">
      <c r="A4" s="1">
        <v>2</v>
      </c>
      <c r="B4" s="46" t="s">
        <v>20</v>
      </c>
      <c r="C4" s="7">
        <f t="shared" si="0"/>
        <v>493</v>
      </c>
      <c r="D4" s="7">
        <f t="shared" si="1"/>
        <v>2773</v>
      </c>
      <c r="E4" s="11">
        <f t="shared" si="2"/>
        <v>5.6247464503042597</v>
      </c>
      <c r="F4" s="12">
        <f>1+1+13+18+18+22+21+18+21+22+21+17+21+20+14+21+11+3+1+18</f>
        <v>302</v>
      </c>
      <c r="G4" s="12">
        <f>1+3+33+88+100+142+161+147+124+165+116+113+129+122+36+74+43+4+7+101</f>
        <v>1709</v>
      </c>
      <c r="H4" s="11">
        <f t="shared" si="3"/>
        <v>5.6589403973509933</v>
      </c>
      <c r="I4" s="12">
        <f>0+10+12+14+12+12+16+11+13+11+11+12+10+7+14+6+0+5</f>
        <v>176</v>
      </c>
      <c r="J4" s="12">
        <f>0+33+93+63+69+89+114+78+86+58+49+56+65+24+49+31+0+34</f>
        <v>991</v>
      </c>
      <c r="K4" s="11">
        <f t="shared" si="4"/>
        <v>5.6306818181818183</v>
      </c>
      <c r="L4" s="12">
        <f>2+1+2+1+1+3+2+1+2</f>
        <v>15</v>
      </c>
      <c r="M4" s="12">
        <f>10+7+14+5+2+10+10+6+9</f>
        <v>73</v>
      </c>
      <c r="N4" s="11">
        <f t="shared" si="5"/>
        <v>4.8666666666666663</v>
      </c>
      <c r="O4" s="12">
        <f>1+0+11+12+21+12+11+20+10+2+33+29+2+2</f>
        <v>166</v>
      </c>
      <c r="P4" s="12">
        <f>1+0+7+8+17+7+8+14+7+2+26+22+1+1</f>
        <v>121</v>
      </c>
      <c r="Q4" s="13">
        <f t="shared" si="6"/>
        <v>0.72891566265060237</v>
      </c>
      <c r="R4" s="12">
        <f>0+7+11+6+9+10+10+9+6+3+10+7+2+5+5+2+1+3</f>
        <v>106</v>
      </c>
      <c r="S4" s="22">
        <f>1+1+1</f>
        <v>3</v>
      </c>
      <c r="T4" s="29" t="s">
        <v>154</v>
      </c>
      <c r="U4" s="25">
        <v>2</v>
      </c>
      <c r="V4" s="24">
        <v>1</v>
      </c>
      <c r="W4" s="36">
        <f t="shared" si="7"/>
        <v>496</v>
      </c>
      <c r="X4" s="1"/>
    </row>
    <row r="5" spans="1:24" x14ac:dyDescent="0.2">
      <c r="A5" s="1">
        <v>3</v>
      </c>
      <c r="B5" s="46" t="s">
        <v>21</v>
      </c>
      <c r="C5" s="7">
        <f t="shared" si="0"/>
        <v>526</v>
      </c>
      <c r="D5" s="7">
        <f t="shared" si="1"/>
        <v>2663</v>
      </c>
      <c r="E5" s="11">
        <f t="shared" si="2"/>
        <v>5.0627376425855513</v>
      </c>
      <c r="F5" s="12">
        <f>2+13+17+18+22+20+19+21+21+21+16+20+16+18+18+20+16+13+20</f>
        <v>331</v>
      </c>
      <c r="G5" s="12">
        <f>1+12+32+65+182+135+133+96+104+103+93+135+76+76+67+111+97+84+117</f>
        <v>1719</v>
      </c>
      <c r="H5" s="11">
        <f t="shared" si="3"/>
        <v>5.1933534743202419</v>
      </c>
      <c r="I5" s="12">
        <f>0+6+10+14+12+12+15+10+14+11+10+12+10+9+14+9+3+6+5</f>
        <v>182</v>
      </c>
      <c r="J5" s="12">
        <f>0+8+25+47+54+65+96+53+76+61+48+60+67+45+56+54+14+33+26</f>
        <v>888</v>
      </c>
      <c r="K5" s="11">
        <f t="shared" si="4"/>
        <v>4.8791208791208796</v>
      </c>
      <c r="L5" s="12">
        <f>2+2+1+3+2+1+2</f>
        <v>13</v>
      </c>
      <c r="M5" s="12">
        <f>6+10+5+10+8+3+14</f>
        <v>56</v>
      </c>
      <c r="N5" s="11">
        <f t="shared" si="5"/>
        <v>4.3076923076923075</v>
      </c>
      <c r="O5" s="12">
        <f>1+9+48+144+120+109+84+95+76+51+103+71+51+12+16+18+22+51</f>
        <v>1081</v>
      </c>
      <c r="P5" s="12">
        <f>1+4+31+118+93+85+62+69+62+38+76+58+39+10+15+14+17+41</f>
        <v>833</v>
      </c>
      <c r="Q5" s="13">
        <f t="shared" si="6"/>
        <v>0.7705827937095282</v>
      </c>
      <c r="R5" s="12">
        <f>0+3+8+8+11+8+6+10+6+3+7+11+8+7+9+6+4+5+8</f>
        <v>128</v>
      </c>
      <c r="S5" s="22">
        <f>1</f>
        <v>1</v>
      </c>
      <c r="T5" s="28" t="s">
        <v>155</v>
      </c>
      <c r="U5" s="25">
        <v>1</v>
      </c>
      <c r="V5" s="24">
        <v>1</v>
      </c>
      <c r="W5" s="36">
        <f t="shared" si="7"/>
        <v>528</v>
      </c>
      <c r="X5" s="1"/>
    </row>
    <row r="6" spans="1:24" x14ac:dyDescent="0.2">
      <c r="A6" s="1">
        <v>4</v>
      </c>
      <c r="B6" s="46" t="s">
        <v>22</v>
      </c>
      <c r="C6" s="7">
        <f t="shared" si="0"/>
        <v>335</v>
      </c>
      <c r="D6" s="7">
        <f t="shared" si="1"/>
        <v>1820</v>
      </c>
      <c r="E6" s="11">
        <f t="shared" si="2"/>
        <v>5.4328358208955221</v>
      </c>
      <c r="F6" s="12">
        <f>6+18+13+15+15+18+14+21+18+20+19+3+17+19</f>
        <v>216</v>
      </c>
      <c r="G6" s="12">
        <f>6+46+50+55+60+94+112+137+114+139+150+17+114+86</f>
        <v>1180</v>
      </c>
      <c r="H6" s="11">
        <f t="shared" si="3"/>
        <v>5.4629629629629628</v>
      </c>
      <c r="I6" s="12">
        <f>3+4+9+7+12+13+12+11+11+8+7+1+2+7+6</f>
        <v>113</v>
      </c>
      <c r="J6" s="12">
        <f>6+12+34+30+53+76+69+83+59+57+40+2+12+39+46</f>
        <v>618</v>
      </c>
      <c r="K6" s="11">
        <f t="shared" si="4"/>
        <v>5.4690265486725664</v>
      </c>
      <c r="L6" s="12">
        <f>1+3+2</f>
        <v>6</v>
      </c>
      <c r="M6" s="12">
        <f>2+16+4</f>
        <v>22</v>
      </c>
      <c r="N6" s="11">
        <f t="shared" si="5"/>
        <v>3.6666666666666665</v>
      </c>
      <c r="O6" s="12">
        <f>3+3+1+4+9+3+2+8+1+16+1</f>
        <v>51</v>
      </c>
      <c r="P6" s="12">
        <f>2+3+0+3+7+2+2+5+1+15+1</f>
        <v>41</v>
      </c>
      <c r="Q6" s="13">
        <f t="shared" si="6"/>
        <v>0.80392156862745101</v>
      </c>
      <c r="R6" s="12">
        <f>1+5+15+15+20+21+17+20+14+20+8+2+3+13+3</f>
        <v>177</v>
      </c>
      <c r="S6" s="22">
        <f>0+1+2+1+3+1+2+1</f>
        <v>11</v>
      </c>
      <c r="T6" s="28"/>
      <c r="U6" s="25"/>
      <c r="V6" s="24">
        <v>1</v>
      </c>
      <c r="W6" s="36">
        <f t="shared" si="7"/>
        <v>336</v>
      </c>
      <c r="X6" s="1"/>
    </row>
    <row r="7" spans="1:24" x14ac:dyDescent="0.2">
      <c r="A7" s="1">
        <v>5</v>
      </c>
      <c r="B7" s="10" t="s">
        <v>23</v>
      </c>
      <c r="C7" s="7">
        <f t="shared" si="0"/>
        <v>645</v>
      </c>
      <c r="D7" s="7">
        <f t="shared" si="1"/>
        <v>1650</v>
      </c>
      <c r="E7" s="11">
        <f t="shared" si="2"/>
        <v>2.558139534883721</v>
      </c>
      <c r="F7" s="12">
        <f>188+18+16+15+14+12+17+18+17+16</f>
        <v>331</v>
      </c>
      <c r="G7" s="12">
        <f>552+18+52+9+23+27+52+30+39+24</f>
        <v>826</v>
      </c>
      <c r="H7" s="11">
        <f t="shared" si="3"/>
        <v>2.4954682779456192</v>
      </c>
      <c r="I7" s="12">
        <f>168+14+12+13+14+7+13+9+9+12</f>
        <v>271</v>
      </c>
      <c r="J7" s="12">
        <f>497+23+24+16+19+13+28+19+12+27</f>
        <v>678</v>
      </c>
      <c r="K7" s="11">
        <f t="shared" si="4"/>
        <v>2.5018450184501844</v>
      </c>
      <c r="L7" s="12">
        <f>41+1+1</f>
        <v>43</v>
      </c>
      <c r="M7" s="12">
        <f>123+11+7+1+3+1</f>
        <v>146</v>
      </c>
      <c r="N7" s="11">
        <f t="shared" si="5"/>
        <v>3.3953488372093021</v>
      </c>
      <c r="O7" s="12">
        <f>497+14+22+54+44+32+23</f>
        <v>686</v>
      </c>
      <c r="P7" s="12">
        <f>389+11+20+45+29+23+17</f>
        <v>534</v>
      </c>
      <c r="Q7" s="13">
        <f t="shared" si="6"/>
        <v>0.77842565597667635</v>
      </c>
      <c r="R7" s="12">
        <f>84+17+21+11+18+11+19+13</f>
        <v>194</v>
      </c>
      <c r="S7" s="22">
        <f>3+1+1+1+2+1</f>
        <v>9</v>
      </c>
      <c r="T7" s="28"/>
      <c r="U7" s="25"/>
      <c r="V7" s="24"/>
      <c r="W7" s="36">
        <f t="shared" si="7"/>
        <v>645</v>
      </c>
    </row>
    <row r="8" spans="1:24" x14ac:dyDescent="0.2">
      <c r="A8" s="1">
        <v>6</v>
      </c>
      <c r="B8" s="10" t="s">
        <v>24</v>
      </c>
      <c r="C8" s="7">
        <f t="shared" si="0"/>
        <v>541</v>
      </c>
      <c r="D8" s="7">
        <f t="shared" si="1"/>
        <v>1523</v>
      </c>
      <c r="E8" s="11">
        <f t="shared" si="2"/>
        <v>2.8151571164510165</v>
      </c>
      <c r="F8" s="12">
        <f>103+18+16+17+14+17+17+17+18+17+15+17+1+1</f>
        <v>288</v>
      </c>
      <c r="G8" s="12">
        <f>238+40+42+47+38+34+59+93+96+60+56+36</f>
        <v>839</v>
      </c>
      <c r="H8" s="11">
        <f t="shared" si="3"/>
        <v>2.9131944444444446</v>
      </c>
      <c r="I8" s="12">
        <f>92+14+14+14+14+13+14+11+12+14+3+4</f>
        <v>219</v>
      </c>
      <c r="J8" s="12">
        <f>336+35+28+58+48+44+38+5+3</f>
        <v>595</v>
      </c>
      <c r="K8" s="11">
        <f t="shared" si="4"/>
        <v>2.7168949771689497</v>
      </c>
      <c r="L8" s="12">
        <f>22+1+4+1+1+1+1+3</f>
        <v>34</v>
      </c>
      <c r="M8" s="12">
        <f>51+2+17+4+1+4+7+3</f>
        <v>89</v>
      </c>
      <c r="N8" s="11">
        <f t="shared" si="5"/>
        <v>2.6176470588235294</v>
      </c>
      <c r="O8" s="12">
        <f>6+2+2+1</f>
        <v>11</v>
      </c>
      <c r="P8" s="12">
        <f>4+1+2+1</f>
        <v>8</v>
      </c>
      <c r="Q8" s="13">
        <f t="shared" si="6"/>
        <v>0.72727272727272729</v>
      </c>
      <c r="R8" s="12">
        <f>56+18+15+13+18+15+18+26+8+11+1</f>
        <v>199</v>
      </c>
      <c r="S8" s="22">
        <f>2+1+1+2+1+1+1</f>
        <v>9</v>
      </c>
      <c r="T8" s="28"/>
      <c r="U8" s="25"/>
      <c r="V8" s="24"/>
      <c r="W8" s="36">
        <f t="shared" si="7"/>
        <v>541</v>
      </c>
    </row>
    <row r="9" spans="1:24" x14ac:dyDescent="0.2">
      <c r="A9" s="1">
        <v>7</v>
      </c>
      <c r="B9" s="46" t="s">
        <v>27</v>
      </c>
      <c r="C9" s="7">
        <f t="shared" ref="C9:C10" si="8">+F9+I9+L9</f>
        <v>442</v>
      </c>
      <c r="D9" s="7">
        <f t="shared" ref="D9:D10" si="9">+G9+J9+M9</f>
        <v>1319</v>
      </c>
      <c r="E9" s="11">
        <f t="shared" ref="E9:E10" si="10">D9/C9</f>
        <v>2.9841628959276019</v>
      </c>
      <c r="F9" s="12">
        <f>0+17+16+20+17+16+5+10+20+18+22+20+17+6+18+10+20</f>
        <v>252</v>
      </c>
      <c r="G9" s="12">
        <f>0+35+42+46+32+28+4+35+63+55+67+94+37+22+64+33+62</f>
        <v>719</v>
      </c>
      <c r="H9" s="11">
        <f t="shared" ref="H9:H10" si="11">G9/F9</f>
        <v>2.8531746031746033</v>
      </c>
      <c r="I9" s="12">
        <f>5+10+14+12+11+13+5+13+12+11+13+8+9+11+5+5+3+15</f>
        <v>175</v>
      </c>
      <c r="J9" s="12">
        <f>6+29+39+23+18+55+11+45+50+27+43+31+20+39+18+27+13+58</f>
        <v>552</v>
      </c>
      <c r="K9" s="11">
        <f t="shared" ref="K9:K10" si="12">J9/I9</f>
        <v>3.1542857142857144</v>
      </c>
      <c r="L9" s="12">
        <f>3+1+2+1+1+1+2+1+1+2</f>
        <v>15</v>
      </c>
      <c r="M9" s="12">
        <f>5+4+8+7+1+7+2+2+3+9</f>
        <v>48</v>
      </c>
      <c r="N9" s="11">
        <f t="shared" ref="N9:N10" si="13">M9/L9</f>
        <v>3.2</v>
      </c>
      <c r="O9" s="12">
        <f>1+1+1+30+2+4+34+7+3+2+1+1</f>
        <v>87</v>
      </c>
      <c r="P9" s="12">
        <f>1+0+22+2+3+27+4+2+2+1+1</f>
        <v>65</v>
      </c>
      <c r="Q9" s="13">
        <f t="shared" ref="Q9:Q10" si="14">P9/O9</f>
        <v>0.74712643678160917</v>
      </c>
      <c r="R9" s="12">
        <f>0+15+23+25+31+19+8+13+22+9+17+20+8+16+12+11+11</f>
        <v>260</v>
      </c>
      <c r="S9" s="22">
        <f>0+1+2+3+4+1+1+2+1+1+1+1+1+1</f>
        <v>20</v>
      </c>
      <c r="T9" s="28" t="s">
        <v>156</v>
      </c>
      <c r="U9" s="25">
        <v>2</v>
      </c>
      <c r="V9" s="24"/>
      <c r="W9" s="36">
        <f t="shared" si="7"/>
        <v>444</v>
      </c>
      <c r="X9" s="1"/>
    </row>
    <row r="10" spans="1:24" x14ac:dyDescent="0.2">
      <c r="A10" s="1">
        <v>8</v>
      </c>
      <c r="B10" s="46" t="s">
        <v>25</v>
      </c>
      <c r="C10" s="7">
        <f t="shared" si="8"/>
        <v>360</v>
      </c>
      <c r="D10" s="7">
        <f t="shared" si="9"/>
        <v>1078</v>
      </c>
      <c r="E10" s="11">
        <f t="shared" si="10"/>
        <v>2.9944444444444445</v>
      </c>
      <c r="F10" s="12">
        <f>181+1+2</f>
        <v>184</v>
      </c>
      <c r="G10" s="12">
        <f>530+2</f>
        <v>532</v>
      </c>
      <c r="H10" s="11">
        <f t="shared" si="11"/>
        <v>2.8913043478260869</v>
      </c>
      <c r="I10" s="12">
        <f>151+2+1</f>
        <v>154</v>
      </c>
      <c r="J10" s="12">
        <f>482+5+1</f>
        <v>488</v>
      </c>
      <c r="K10" s="11">
        <f t="shared" si="12"/>
        <v>3.168831168831169</v>
      </c>
      <c r="L10" s="12">
        <v>22</v>
      </c>
      <c r="M10" s="12">
        <v>58</v>
      </c>
      <c r="N10" s="11">
        <f t="shared" si="13"/>
        <v>2.6363636363636362</v>
      </c>
      <c r="O10" s="12">
        <f>77+1</f>
        <v>78</v>
      </c>
      <c r="P10" s="12">
        <v>50</v>
      </c>
      <c r="Q10" s="13">
        <f t="shared" si="14"/>
        <v>0.64102564102564108</v>
      </c>
      <c r="R10" s="12">
        <f>42+1+2+1</f>
        <v>46</v>
      </c>
      <c r="S10" s="22">
        <v>0</v>
      </c>
      <c r="T10" s="28"/>
      <c r="U10" s="25"/>
      <c r="V10" s="24"/>
      <c r="W10" s="36">
        <f t="shared" si="7"/>
        <v>360</v>
      </c>
    </row>
    <row r="11" spans="1:24" x14ac:dyDescent="0.2">
      <c r="A11" s="1">
        <v>9</v>
      </c>
      <c r="B11" s="46" t="s">
        <v>51</v>
      </c>
      <c r="C11" s="12">
        <f t="shared" ref="C11:D13" si="15">+F11+I11+L11</f>
        <v>256</v>
      </c>
      <c r="D11" s="12">
        <f t="shared" si="15"/>
        <v>1039</v>
      </c>
      <c r="E11" s="11">
        <f>D11/C11</f>
        <v>4.05859375</v>
      </c>
      <c r="F11" s="12">
        <f>2+1+21+20+20+21+21+15+1+18+18</f>
        <v>158</v>
      </c>
      <c r="G11" s="12">
        <f>0+1+50+69+75+77+53+108+6+74+69</f>
        <v>582</v>
      </c>
      <c r="H11" s="11">
        <f>G11/F11</f>
        <v>3.6835443037974684</v>
      </c>
      <c r="I11" s="12">
        <f>3+8+13+11+10+14+9+6+6+6</f>
        <v>86</v>
      </c>
      <c r="J11" s="12">
        <f>4+23+53+52+48+40+30+38+36+21</f>
        <v>345</v>
      </c>
      <c r="K11" s="11">
        <f>J11/I11</f>
        <v>4.0116279069767442</v>
      </c>
      <c r="L11" s="12">
        <f>2+1+1+3+2+1+1+1</f>
        <v>12</v>
      </c>
      <c r="M11" s="12">
        <f>2+1+1+16+4+4+84</f>
        <v>112</v>
      </c>
      <c r="N11" s="11">
        <f>M11/L11</f>
        <v>9.3333333333333339</v>
      </c>
      <c r="O11" s="12">
        <f>2+35+1+13+4</f>
        <v>55</v>
      </c>
      <c r="P11" s="12">
        <f>2+29+1+11+4</f>
        <v>47</v>
      </c>
      <c r="Q11" s="13">
        <f>P11/O11</f>
        <v>0.8545454545454545</v>
      </c>
      <c r="R11" s="12">
        <f>3+2+8+7+9+2+4+2</f>
        <v>37</v>
      </c>
      <c r="S11" s="22">
        <v>0</v>
      </c>
      <c r="T11" s="28" t="s">
        <v>145</v>
      </c>
      <c r="U11" s="25"/>
      <c r="V11" s="24">
        <v>1</v>
      </c>
      <c r="W11" s="36">
        <f t="shared" si="7"/>
        <v>257</v>
      </c>
      <c r="X11" s="1"/>
    </row>
    <row r="12" spans="1:24" x14ac:dyDescent="0.2">
      <c r="A12" s="1">
        <v>10</v>
      </c>
      <c r="B12" s="10" t="s">
        <v>26</v>
      </c>
      <c r="C12" s="7">
        <f t="shared" si="15"/>
        <v>221</v>
      </c>
      <c r="D12" s="7">
        <f t="shared" si="15"/>
        <v>964</v>
      </c>
      <c r="E12" s="11">
        <f>D12/C12</f>
        <v>4.3619909502262439</v>
      </c>
      <c r="F12" s="12">
        <f>37+18+10+9+4+10+10+13+6</f>
        <v>117</v>
      </c>
      <c r="G12" s="12">
        <f>134+93+48+39+14+42+39+38+20</f>
        <v>467</v>
      </c>
      <c r="H12" s="11">
        <f>G12/F12</f>
        <v>3.9914529914529915</v>
      </c>
      <c r="I12" s="12">
        <f>35+14+7+9+2+6+9+2+2+2</f>
        <v>88</v>
      </c>
      <c r="J12" s="12">
        <f>139+74+56+41+7+19+59+6+10+11</f>
        <v>422</v>
      </c>
      <c r="K12" s="11">
        <f>J12/I12</f>
        <v>4.7954545454545459</v>
      </c>
      <c r="L12" s="12">
        <f>8+1+4+1+1+1</f>
        <v>16</v>
      </c>
      <c r="M12" s="12">
        <f>32+8+20+8+4+3</f>
        <v>75</v>
      </c>
      <c r="N12" s="11">
        <f>M12/L12</f>
        <v>4.6875</v>
      </c>
      <c r="O12" s="12">
        <v>12</v>
      </c>
      <c r="P12" s="12">
        <f>9+1+1</f>
        <v>11</v>
      </c>
      <c r="Q12" s="9">
        <f>P12/O12</f>
        <v>0.91666666666666663</v>
      </c>
      <c r="R12" s="12">
        <f>35+15+3+7+6+1+7+3</f>
        <v>77</v>
      </c>
      <c r="S12" s="22">
        <f>1+1+1</f>
        <v>3</v>
      </c>
      <c r="T12" s="28"/>
      <c r="U12" s="25"/>
      <c r="V12" s="24"/>
      <c r="W12" s="36">
        <f t="shared" si="7"/>
        <v>221</v>
      </c>
      <c r="X12" s="1"/>
    </row>
    <row r="13" spans="1:24" x14ac:dyDescent="0.2">
      <c r="A13" s="1">
        <v>11</v>
      </c>
      <c r="B13" s="46" t="s">
        <v>53</v>
      </c>
      <c r="C13" s="12">
        <f t="shared" si="15"/>
        <v>201</v>
      </c>
      <c r="D13" s="12">
        <f t="shared" si="15"/>
        <v>833</v>
      </c>
      <c r="E13" s="11">
        <f>D13/C13</f>
        <v>4.144278606965174</v>
      </c>
      <c r="F13" s="12">
        <f>1+5+6+20+19+20+19+1+15+18</f>
        <v>124</v>
      </c>
      <c r="G13" s="12">
        <f>0+7+31+68+90+87+77+3+58+66</f>
        <v>487</v>
      </c>
      <c r="H13" s="11">
        <f>G13/F13</f>
        <v>3.9274193548387095</v>
      </c>
      <c r="I13" s="12">
        <f>1+6+5+7+6+9+13+10+4+2+4</f>
        <v>67</v>
      </c>
      <c r="J13" s="12">
        <f>3+8+22+37+42+50+53+53+19+6+19</f>
        <v>312</v>
      </c>
      <c r="K13" s="11">
        <f>J13/I13</f>
        <v>4.6567164179104479</v>
      </c>
      <c r="L13" s="12">
        <f>1+1+3+2+1+2</f>
        <v>10</v>
      </c>
      <c r="M13" s="12">
        <f>3+5+9+8+2+7</f>
        <v>34</v>
      </c>
      <c r="N13" s="11">
        <f>M13/L13</f>
        <v>3.4</v>
      </c>
      <c r="O13" s="12">
        <f>3+8+10+5+4+2+1</f>
        <v>33</v>
      </c>
      <c r="P13" s="12">
        <f>2+5+9+5+2+1+1</f>
        <v>25</v>
      </c>
      <c r="Q13" s="13">
        <f>P13/O13</f>
        <v>0.75757575757575757</v>
      </c>
      <c r="R13" s="12">
        <f>1+2+7+6+8+8+11+1+4+9</f>
        <v>57</v>
      </c>
      <c r="S13" s="22">
        <v>0</v>
      </c>
      <c r="T13" s="28" t="s">
        <v>146</v>
      </c>
      <c r="U13" s="25"/>
      <c r="V13" s="24">
        <v>1</v>
      </c>
      <c r="W13" s="36">
        <f t="shared" si="7"/>
        <v>202</v>
      </c>
      <c r="X13" s="1"/>
    </row>
    <row r="14" spans="1:24" x14ac:dyDescent="0.2">
      <c r="A14" s="1">
        <v>12</v>
      </c>
      <c r="B14" s="10" t="s">
        <v>30</v>
      </c>
      <c r="C14" s="7">
        <f t="shared" ref="C14:C35" si="16">+F14+I14+L14</f>
        <v>337</v>
      </c>
      <c r="D14" s="7">
        <f t="shared" ref="D14:D35" si="17">+G14+J14+M14</f>
        <v>816</v>
      </c>
      <c r="E14" s="11">
        <f t="shared" ref="E14:E35" si="18">D14/C14</f>
        <v>2.4213649851632049</v>
      </c>
      <c r="F14" s="12">
        <f>22+18+20+21+19+17+20+20+20+17+6</f>
        <v>200</v>
      </c>
      <c r="G14" s="12">
        <f>46+47+32+62+36+31+48+59+46+22+5</f>
        <v>434</v>
      </c>
      <c r="H14" s="11">
        <f t="shared" ref="H14:H35" si="19">G14/F14</f>
        <v>2.17</v>
      </c>
      <c r="I14" s="12">
        <f>12+15+12+13+12+12+13+11+10+14+5</f>
        <v>129</v>
      </c>
      <c r="J14" s="12">
        <f>35+64+41+30+34+32+23+34+29+36+14</f>
        <v>372</v>
      </c>
      <c r="K14" s="11">
        <f t="shared" ref="K14:K35" si="20">J14/I14</f>
        <v>2.8837209302325579</v>
      </c>
      <c r="L14" s="12">
        <f>1+2+1+3+1</f>
        <v>8</v>
      </c>
      <c r="M14" s="12">
        <f>1+3+1+4+1</f>
        <v>10</v>
      </c>
      <c r="N14" s="11">
        <f t="shared" ref="N14" si="21">M14/L14</f>
        <v>1.25</v>
      </c>
      <c r="O14" s="12">
        <f>15+2+6+4+1+1+2+0</f>
        <v>31</v>
      </c>
      <c r="P14" s="12">
        <f>9+3+2+0+1+1+0</f>
        <v>16</v>
      </c>
      <c r="Q14" s="13">
        <f t="shared" ref="Q14" si="22">P14/O14</f>
        <v>0.5161290322580645</v>
      </c>
      <c r="R14" s="12">
        <f>15+10+10+10+7+9+14+17+16+9+2</f>
        <v>119</v>
      </c>
      <c r="S14" s="22">
        <f>1+1+1+1</f>
        <v>4</v>
      </c>
      <c r="T14" s="28"/>
      <c r="U14" s="25">
        <v>2</v>
      </c>
      <c r="V14" s="24"/>
      <c r="W14" s="36">
        <f t="shared" si="7"/>
        <v>339</v>
      </c>
      <c r="X14" s="1"/>
    </row>
    <row r="15" spans="1:24" x14ac:dyDescent="0.2">
      <c r="A15" s="1">
        <v>13</v>
      </c>
      <c r="B15" s="46" t="s">
        <v>41</v>
      </c>
      <c r="C15" s="12">
        <f t="shared" ref="C15:C34" si="23">+F15+I15+L15</f>
        <v>364</v>
      </c>
      <c r="D15" s="12">
        <f t="shared" si="17"/>
        <v>715</v>
      </c>
      <c r="E15" s="11">
        <f t="shared" ref="E15:E34" si="24">D15/C15</f>
        <v>1.9642857142857142</v>
      </c>
      <c r="F15" s="12">
        <f>1+10+22+21+17+19+18+18+21+21+17+17+19</f>
        <v>221</v>
      </c>
      <c r="G15" s="12">
        <f>0+24+31+37+29+45+29+32+39+48+48+30</f>
        <v>392</v>
      </c>
      <c r="H15" s="11">
        <f t="shared" ref="H15:H34" si="25">G15/F15</f>
        <v>1.7737556561085972</v>
      </c>
      <c r="I15" s="12">
        <f>8+8+3+14+12+12+11+11+10+13+9+6+5+7</f>
        <v>129</v>
      </c>
      <c r="J15" s="12">
        <f>0+1+7+21+25+44+20+29+19+30+26+28+21+27</f>
        <v>298</v>
      </c>
      <c r="K15" s="11">
        <f t="shared" ref="K15:K34" si="26">J15/I15</f>
        <v>2.3100775193798451</v>
      </c>
      <c r="L15" s="12">
        <f>1+2+1+1+3+2+1+1+2</f>
        <v>14</v>
      </c>
      <c r="M15" s="12">
        <f>3+5+1+5+4+1+2+4</f>
        <v>25</v>
      </c>
      <c r="N15" s="11">
        <f t="shared" ref="N15:N20" si="27">M15/L15</f>
        <v>1.7857142857142858</v>
      </c>
      <c r="O15" s="12">
        <f>0+1+4+1+2+0</f>
        <v>8</v>
      </c>
      <c r="P15" s="12">
        <f>0+1+0</f>
        <v>1</v>
      </c>
      <c r="Q15" s="13">
        <f t="shared" ref="Q15:Q30" si="28">P15/O15</f>
        <v>0.125</v>
      </c>
      <c r="R15" s="12">
        <f>0+5+2+13+9+7+8+5+6+5+2</f>
        <v>62</v>
      </c>
      <c r="S15" s="22">
        <v>1</v>
      </c>
      <c r="T15" s="28" t="s">
        <v>147</v>
      </c>
      <c r="U15" s="12">
        <v>2</v>
      </c>
      <c r="V15" s="24">
        <v>1</v>
      </c>
      <c r="W15" s="36">
        <f t="shared" si="7"/>
        <v>367</v>
      </c>
      <c r="X15" s="1"/>
    </row>
    <row r="16" spans="1:24" x14ac:dyDescent="0.2">
      <c r="A16" s="1">
        <v>14</v>
      </c>
      <c r="B16" s="46" t="s">
        <v>45</v>
      </c>
      <c r="C16" s="12">
        <f t="shared" si="23"/>
        <v>302</v>
      </c>
      <c r="D16" s="12">
        <f t="shared" si="17"/>
        <v>649</v>
      </c>
      <c r="E16" s="11">
        <f t="shared" si="24"/>
        <v>2.1490066225165565</v>
      </c>
      <c r="F16" s="12">
        <f>1+3+2+20+1+16+21+20+20+20+20+6+1+16+9</f>
        <v>176</v>
      </c>
      <c r="G16" s="12">
        <f>1+3+28+1+13+35+30+26+84+72+10+1+38+10</f>
        <v>352</v>
      </c>
      <c r="H16" s="11">
        <f t="shared" si="25"/>
        <v>2</v>
      </c>
      <c r="I16" s="12">
        <f>1+5+6+6+14+5+12+12+11+9+13+9+5+5+3</f>
        <v>116</v>
      </c>
      <c r="J16" s="12">
        <f>0+3+20+16+25+10+19+26+26+19+37+27+26+10+7</f>
        <v>271</v>
      </c>
      <c r="K16" s="11">
        <f t="shared" si="26"/>
        <v>2.3362068965517242</v>
      </c>
      <c r="L16" s="12">
        <f>1+2+1+1+3+2</f>
        <v>10</v>
      </c>
      <c r="M16" s="12">
        <f>2+4+2+1+10+7</f>
        <v>26</v>
      </c>
      <c r="N16" s="11">
        <f t="shared" si="27"/>
        <v>2.6</v>
      </c>
      <c r="O16" s="12">
        <f>1+1+77+57+2+3</f>
        <v>141</v>
      </c>
      <c r="P16" s="12">
        <f>1+57+46+2+3</f>
        <v>109</v>
      </c>
      <c r="Q16" s="13">
        <f t="shared" si="28"/>
        <v>0.77304964539007093</v>
      </c>
      <c r="R16" s="12">
        <f>1+2+2+9+11+12+7+11+10+11+1+1+5+3</f>
        <v>86</v>
      </c>
      <c r="S16" s="22">
        <f>0+3+1+0+1+0</f>
        <v>5</v>
      </c>
      <c r="T16" s="28" t="s">
        <v>139</v>
      </c>
      <c r="U16" s="25">
        <v>2</v>
      </c>
      <c r="V16" s="24"/>
      <c r="W16" s="36">
        <f t="shared" si="7"/>
        <v>304</v>
      </c>
    </row>
    <row r="17" spans="1:24" x14ac:dyDescent="0.2">
      <c r="A17" s="1">
        <v>15</v>
      </c>
      <c r="B17" s="10" t="s">
        <v>28</v>
      </c>
      <c r="C17" s="7">
        <f t="shared" si="23"/>
        <v>205</v>
      </c>
      <c r="D17" s="7">
        <f t="shared" si="17"/>
        <v>589</v>
      </c>
      <c r="E17" s="11">
        <f t="shared" si="24"/>
        <v>2.873170731707317</v>
      </c>
      <c r="F17" s="12">
        <v>98</v>
      </c>
      <c r="G17" s="12">
        <v>276</v>
      </c>
      <c r="H17" s="11">
        <f t="shared" si="25"/>
        <v>2.8163265306122449</v>
      </c>
      <c r="I17" s="12">
        <v>91</v>
      </c>
      <c r="J17" s="12">
        <v>263</v>
      </c>
      <c r="K17" s="11">
        <f t="shared" si="26"/>
        <v>2.8901098901098901</v>
      </c>
      <c r="L17" s="12">
        <v>16</v>
      </c>
      <c r="M17" s="12">
        <v>50</v>
      </c>
      <c r="N17" s="11">
        <f t="shared" si="27"/>
        <v>3.125</v>
      </c>
      <c r="O17" s="12">
        <v>68</v>
      </c>
      <c r="P17" s="12">
        <v>45</v>
      </c>
      <c r="Q17" s="13">
        <f t="shared" si="28"/>
        <v>0.66176470588235292</v>
      </c>
      <c r="R17" s="12">
        <v>17</v>
      </c>
      <c r="S17" s="22">
        <v>0</v>
      </c>
      <c r="T17" s="28"/>
      <c r="U17" s="25"/>
      <c r="V17" s="24"/>
      <c r="W17" s="36">
        <f t="shared" si="7"/>
        <v>205</v>
      </c>
      <c r="X17" s="1"/>
    </row>
    <row r="18" spans="1:24" x14ac:dyDescent="0.2">
      <c r="A18" s="1">
        <v>16</v>
      </c>
      <c r="B18" s="10" t="s">
        <v>29</v>
      </c>
      <c r="C18" s="7">
        <f t="shared" si="23"/>
        <v>203</v>
      </c>
      <c r="D18" s="7">
        <f t="shared" si="17"/>
        <v>582</v>
      </c>
      <c r="E18" s="11">
        <f t="shared" si="24"/>
        <v>2.8669950738916254</v>
      </c>
      <c r="F18" s="12">
        <v>104</v>
      </c>
      <c r="G18" s="12">
        <v>310</v>
      </c>
      <c r="H18" s="11">
        <f t="shared" si="25"/>
        <v>2.9807692307692308</v>
      </c>
      <c r="I18" s="12">
        <f>86</f>
        <v>86</v>
      </c>
      <c r="J18" s="12">
        <f>209+32</f>
        <v>241</v>
      </c>
      <c r="K18" s="11">
        <f t="shared" si="26"/>
        <v>2.8023255813953489</v>
      </c>
      <c r="L18" s="12">
        <v>13</v>
      </c>
      <c r="M18" s="12">
        <v>31</v>
      </c>
      <c r="N18" s="11">
        <f t="shared" si="27"/>
        <v>2.3846153846153846</v>
      </c>
      <c r="O18" s="12">
        <v>110</v>
      </c>
      <c r="P18" s="12">
        <v>82</v>
      </c>
      <c r="Q18" s="13">
        <f t="shared" si="28"/>
        <v>0.74545454545454548</v>
      </c>
      <c r="R18" s="12">
        <v>58</v>
      </c>
      <c r="S18" s="22">
        <v>2</v>
      </c>
      <c r="T18" s="28"/>
      <c r="U18" s="25"/>
      <c r="V18" s="24"/>
      <c r="W18" s="36">
        <f t="shared" si="7"/>
        <v>203</v>
      </c>
    </row>
    <row r="19" spans="1:24" x14ac:dyDescent="0.2">
      <c r="A19" s="1">
        <v>17</v>
      </c>
      <c r="B19" s="10" t="s">
        <v>31</v>
      </c>
      <c r="C19" s="7">
        <f t="shared" si="23"/>
        <v>161</v>
      </c>
      <c r="D19" s="7">
        <f t="shared" si="17"/>
        <v>512</v>
      </c>
      <c r="E19" s="11">
        <f t="shared" si="24"/>
        <v>3.1801242236024843</v>
      </c>
      <c r="F19" s="12">
        <f>7+16+13+17+3+3+13+12</f>
        <v>84</v>
      </c>
      <c r="G19" s="12">
        <f>19+40+58+76+5+4+47+28</f>
        <v>277</v>
      </c>
      <c r="H19" s="11">
        <f t="shared" si="25"/>
        <v>3.2976190476190474</v>
      </c>
      <c r="I19" s="12">
        <f>7+13+13+11+5+3+11+6</f>
        <v>69</v>
      </c>
      <c r="J19" s="12">
        <f>15+27+63+34+9+4+45+18</f>
        <v>215</v>
      </c>
      <c r="K19" s="11">
        <f t="shared" si="26"/>
        <v>3.1159420289855073</v>
      </c>
      <c r="L19" s="12">
        <f>3+4+1</f>
        <v>8</v>
      </c>
      <c r="M19" s="12">
        <f>9+8+3</f>
        <v>20</v>
      </c>
      <c r="N19" s="11">
        <f t="shared" si="27"/>
        <v>2.5</v>
      </c>
      <c r="O19" s="12">
        <f>19+9+3+2+19+7</f>
        <v>59</v>
      </c>
      <c r="P19" s="12">
        <f>14+7+1+1+14+5</f>
        <v>42</v>
      </c>
      <c r="Q19" s="13">
        <f t="shared" si="28"/>
        <v>0.71186440677966101</v>
      </c>
      <c r="R19" s="12">
        <f>8+16+40+12+12+5+28+21</f>
        <v>142</v>
      </c>
      <c r="S19" s="22">
        <f>3+7+3+3+2+3</f>
        <v>21</v>
      </c>
      <c r="T19" s="28"/>
      <c r="U19" s="25"/>
      <c r="V19" s="24"/>
      <c r="W19" s="36">
        <f t="shared" si="7"/>
        <v>161</v>
      </c>
      <c r="X19" s="1"/>
    </row>
    <row r="20" spans="1:24" x14ac:dyDescent="0.2">
      <c r="A20" s="1">
        <v>18</v>
      </c>
      <c r="B20" s="46" t="s">
        <v>86</v>
      </c>
      <c r="C20" s="12">
        <f t="shared" si="23"/>
        <v>179</v>
      </c>
      <c r="D20" s="12">
        <f t="shared" si="17"/>
        <v>498</v>
      </c>
      <c r="E20" s="11">
        <f t="shared" si="24"/>
        <v>2.7821229050279328</v>
      </c>
      <c r="F20" s="12">
        <f>1+1+20+20+22+16+1+18+14</f>
        <v>113</v>
      </c>
      <c r="G20" s="12">
        <f>2+1+67+81+51+45+2+31+19</f>
        <v>299</v>
      </c>
      <c r="H20" s="11">
        <f t="shared" si="25"/>
        <v>2.6460176991150441</v>
      </c>
      <c r="I20" s="12">
        <f>3+1+9+14+10+6+6+7</f>
        <v>56</v>
      </c>
      <c r="J20" s="12">
        <f>5+3+19+50+33+21+20+24</f>
        <v>175</v>
      </c>
      <c r="K20" s="11">
        <f t="shared" si="26"/>
        <v>3.125</v>
      </c>
      <c r="L20" s="12">
        <f>1+1+2+2+1+1+2</f>
        <v>10</v>
      </c>
      <c r="M20" s="12">
        <f>0+6+11+1+1+4+1</f>
        <v>24</v>
      </c>
      <c r="N20" s="11">
        <f t="shared" si="27"/>
        <v>2.4</v>
      </c>
      <c r="O20" s="12">
        <f>1+17+21+4+4+8</f>
        <v>55</v>
      </c>
      <c r="P20" s="12">
        <f>1+15+16+3+3+7</f>
        <v>45</v>
      </c>
      <c r="Q20" s="13">
        <f t="shared" si="28"/>
        <v>0.81818181818181823</v>
      </c>
      <c r="R20" s="12">
        <f>0+0+12+15+19+9+5+6</f>
        <v>66</v>
      </c>
      <c r="S20" s="22">
        <v>0</v>
      </c>
      <c r="T20" s="28" t="s">
        <v>140</v>
      </c>
      <c r="U20" s="24"/>
      <c r="V20" s="24">
        <v>1</v>
      </c>
      <c r="W20" s="36">
        <f t="shared" si="7"/>
        <v>180</v>
      </c>
      <c r="X20" s="1"/>
    </row>
    <row r="21" spans="1:24" x14ac:dyDescent="0.2">
      <c r="A21" s="1">
        <v>19</v>
      </c>
      <c r="B21" s="10" t="s">
        <v>32</v>
      </c>
      <c r="C21" s="7">
        <f t="shared" si="23"/>
        <v>140</v>
      </c>
      <c r="D21" s="7">
        <f t="shared" si="17"/>
        <v>329</v>
      </c>
      <c r="E21" s="11">
        <f t="shared" si="24"/>
        <v>2.35</v>
      </c>
      <c r="F21" s="12">
        <f>16+20+21+16+19</f>
        <v>92</v>
      </c>
      <c r="G21" s="12">
        <f>46+50+48+29+46</f>
        <v>219</v>
      </c>
      <c r="H21" s="11">
        <f t="shared" si="25"/>
        <v>2.3804347826086958</v>
      </c>
      <c r="I21" s="12">
        <f>1+12+10+12+11</f>
        <v>46</v>
      </c>
      <c r="J21" s="12">
        <f>1+29+14+34+28</f>
        <v>106</v>
      </c>
      <c r="K21" s="11">
        <f t="shared" si="26"/>
        <v>2.3043478260869565</v>
      </c>
      <c r="L21" s="12">
        <f>0+2</f>
        <v>2</v>
      </c>
      <c r="M21" s="12">
        <f>4</f>
        <v>4</v>
      </c>
      <c r="N21" s="11">
        <v>0</v>
      </c>
      <c r="O21" s="12">
        <f>6+4</f>
        <v>10</v>
      </c>
      <c r="P21" s="12">
        <f>4+2</f>
        <v>6</v>
      </c>
      <c r="Q21" s="13">
        <f t="shared" si="28"/>
        <v>0.6</v>
      </c>
      <c r="R21" s="12">
        <f>11+15+11+7+7</f>
        <v>51</v>
      </c>
      <c r="S21" s="22">
        <f>2</f>
        <v>2</v>
      </c>
      <c r="T21" s="28"/>
      <c r="U21" s="25"/>
      <c r="V21" s="24"/>
      <c r="W21" s="36">
        <f t="shared" si="7"/>
        <v>140</v>
      </c>
      <c r="X21" s="1"/>
    </row>
    <row r="22" spans="1:24" x14ac:dyDescent="0.2">
      <c r="A22" s="1">
        <v>20</v>
      </c>
      <c r="B22" s="10" t="s">
        <v>33</v>
      </c>
      <c r="C22" s="12">
        <f t="shared" si="23"/>
        <v>122</v>
      </c>
      <c r="D22" s="12">
        <f t="shared" si="17"/>
        <v>319</v>
      </c>
      <c r="E22" s="11">
        <f t="shared" si="24"/>
        <v>2.6147540983606556</v>
      </c>
      <c r="F22" s="12">
        <f>1+1+21+20+17+10</f>
        <v>70</v>
      </c>
      <c r="G22" s="12">
        <f>0+1+48+54+31+29</f>
        <v>163</v>
      </c>
      <c r="H22" s="11">
        <f t="shared" si="25"/>
        <v>2.3285714285714287</v>
      </c>
      <c r="I22" s="12">
        <f>2+14+12+12+6+5</f>
        <v>51</v>
      </c>
      <c r="J22" s="12">
        <f>7+37+26+36+24+22</f>
        <v>152</v>
      </c>
      <c r="K22" s="11">
        <f t="shared" si="26"/>
        <v>2.9803921568627452</v>
      </c>
      <c r="L22" s="12">
        <v>1</v>
      </c>
      <c r="M22" s="12">
        <v>4</v>
      </c>
      <c r="N22" s="11">
        <f t="shared" ref="N22:N32" si="29">M22/L22</f>
        <v>4</v>
      </c>
      <c r="O22" s="12">
        <f>0+2+1+6</f>
        <v>9</v>
      </c>
      <c r="P22" s="12">
        <f>0+1+0</f>
        <v>1</v>
      </c>
      <c r="Q22" s="13">
        <f t="shared" si="28"/>
        <v>0.1111111111111111</v>
      </c>
      <c r="R22" s="12">
        <f>0+1+10+9+4+2</f>
        <v>26</v>
      </c>
      <c r="S22" s="22">
        <f>0+1</f>
        <v>1</v>
      </c>
      <c r="T22" s="28"/>
      <c r="U22" s="25">
        <v>2</v>
      </c>
      <c r="V22" s="24"/>
      <c r="W22" s="36">
        <f t="shared" si="7"/>
        <v>124</v>
      </c>
      <c r="X22" s="1"/>
    </row>
    <row r="23" spans="1:24" x14ac:dyDescent="0.2">
      <c r="A23" s="1">
        <v>21</v>
      </c>
      <c r="B23" s="10" t="s">
        <v>34</v>
      </c>
      <c r="C23" s="7">
        <f t="shared" si="23"/>
        <v>215</v>
      </c>
      <c r="D23" s="7">
        <f t="shared" si="17"/>
        <v>294</v>
      </c>
      <c r="E23" s="11">
        <f t="shared" si="24"/>
        <v>1.3674418604651162</v>
      </c>
      <c r="F23" s="12">
        <f>92+11</f>
        <v>103</v>
      </c>
      <c r="G23" s="12">
        <f>123+10</f>
        <v>133</v>
      </c>
      <c r="H23" s="11">
        <f t="shared" si="25"/>
        <v>1.2912621359223302</v>
      </c>
      <c r="I23" s="12">
        <f>87+6</f>
        <v>93</v>
      </c>
      <c r="J23" s="12">
        <f>131+3</f>
        <v>134</v>
      </c>
      <c r="K23" s="11">
        <f t="shared" si="26"/>
        <v>1.4408602150537635</v>
      </c>
      <c r="L23" s="12">
        <f>18+1</f>
        <v>19</v>
      </c>
      <c r="M23" s="12">
        <v>27</v>
      </c>
      <c r="N23" s="11">
        <f t="shared" si="29"/>
        <v>1.4210526315789473</v>
      </c>
      <c r="O23" s="12">
        <v>1</v>
      </c>
      <c r="P23" s="12">
        <v>1</v>
      </c>
      <c r="Q23" s="13">
        <f t="shared" si="28"/>
        <v>1</v>
      </c>
      <c r="R23" s="12">
        <f>36+3</f>
        <v>39</v>
      </c>
      <c r="S23" s="22">
        <v>0</v>
      </c>
      <c r="T23" s="28"/>
      <c r="U23" s="25"/>
      <c r="V23" s="24"/>
      <c r="W23" s="36">
        <f t="shared" si="7"/>
        <v>215</v>
      </c>
    </row>
    <row r="24" spans="1:24" x14ac:dyDescent="0.2">
      <c r="A24" s="1">
        <v>22</v>
      </c>
      <c r="B24" s="10" t="s">
        <v>35</v>
      </c>
      <c r="C24" s="7">
        <f t="shared" si="23"/>
        <v>139</v>
      </c>
      <c r="D24" s="7">
        <f t="shared" si="17"/>
        <v>286</v>
      </c>
      <c r="E24" s="11">
        <f t="shared" si="24"/>
        <v>2.0575539568345325</v>
      </c>
      <c r="F24" s="12">
        <f>45+9+9+13+2+1</f>
        <v>79</v>
      </c>
      <c r="G24" s="12">
        <f>110+4+4+17+5+1</f>
        <v>141</v>
      </c>
      <c r="H24" s="11">
        <f t="shared" si="25"/>
        <v>1.7848101265822784</v>
      </c>
      <c r="I24" s="12">
        <f>38+4+4+12</f>
        <v>58</v>
      </c>
      <c r="J24" s="12">
        <f>112+4+16+9</f>
        <v>141</v>
      </c>
      <c r="K24" s="11">
        <f t="shared" si="26"/>
        <v>2.4310344827586206</v>
      </c>
      <c r="L24" s="12">
        <f>1+1</f>
        <v>2</v>
      </c>
      <c r="M24" s="12">
        <f>3+1</f>
        <v>4</v>
      </c>
      <c r="N24" s="11">
        <f t="shared" si="29"/>
        <v>2</v>
      </c>
      <c r="O24" s="12">
        <f>32+9+3</f>
        <v>44</v>
      </c>
      <c r="P24" s="12">
        <f>22+8+1</f>
        <v>31</v>
      </c>
      <c r="Q24" s="13">
        <f t="shared" si="28"/>
        <v>0.70454545454545459</v>
      </c>
      <c r="R24" s="12">
        <v>39</v>
      </c>
      <c r="S24" s="22">
        <f>1+1</f>
        <v>2</v>
      </c>
      <c r="T24" s="28"/>
      <c r="U24" s="25"/>
      <c r="V24" s="24"/>
      <c r="W24" s="36">
        <f t="shared" si="7"/>
        <v>139</v>
      </c>
      <c r="X24" s="1"/>
    </row>
    <row r="25" spans="1:24" x14ac:dyDescent="0.2">
      <c r="A25" s="1">
        <v>23</v>
      </c>
      <c r="B25" s="10" t="s">
        <v>36</v>
      </c>
      <c r="C25" s="7">
        <f t="shared" si="23"/>
        <v>162</v>
      </c>
      <c r="D25" s="7">
        <f t="shared" si="17"/>
        <v>267</v>
      </c>
      <c r="E25" s="11">
        <f t="shared" si="24"/>
        <v>1.6481481481481481</v>
      </c>
      <c r="F25" s="12">
        <v>85</v>
      </c>
      <c r="G25" s="12">
        <v>136</v>
      </c>
      <c r="H25" s="11">
        <f t="shared" si="25"/>
        <v>1.6</v>
      </c>
      <c r="I25" s="12">
        <v>69</v>
      </c>
      <c r="J25" s="12">
        <v>116</v>
      </c>
      <c r="K25" s="11">
        <f t="shared" si="26"/>
        <v>1.681159420289855</v>
      </c>
      <c r="L25" s="12">
        <v>8</v>
      </c>
      <c r="M25" s="12">
        <v>15</v>
      </c>
      <c r="N25" s="11">
        <f t="shared" si="29"/>
        <v>1.875</v>
      </c>
      <c r="O25" s="12">
        <v>12</v>
      </c>
      <c r="P25" s="12">
        <v>5</v>
      </c>
      <c r="Q25" s="13">
        <f t="shared" si="28"/>
        <v>0.41666666666666669</v>
      </c>
      <c r="R25" s="12">
        <v>25</v>
      </c>
      <c r="S25" s="22">
        <v>0</v>
      </c>
      <c r="T25" s="28"/>
      <c r="U25" s="25"/>
      <c r="V25" s="24"/>
      <c r="W25" s="36">
        <f t="shared" si="7"/>
        <v>162</v>
      </c>
      <c r="X25" s="1"/>
    </row>
    <row r="26" spans="1:24" x14ac:dyDescent="0.2">
      <c r="A26" s="1">
        <v>24</v>
      </c>
      <c r="B26" s="10" t="s">
        <v>37</v>
      </c>
      <c r="C26" s="7">
        <f t="shared" si="23"/>
        <v>177</v>
      </c>
      <c r="D26" s="7">
        <f t="shared" si="17"/>
        <v>266</v>
      </c>
      <c r="E26" s="11">
        <f t="shared" si="24"/>
        <v>1.5028248587570621</v>
      </c>
      <c r="F26" s="12">
        <v>87</v>
      </c>
      <c r="G26" s="12">
        <v>118</v>
      </c>
      <c r="H26" s="11">
        <f t="shared" si="25"/>
        <v>1.3563218390804597</v>
      </c>
      <c r="I26" s="12">
        <v>77</v>
      </c>
      <c r="J26" s="12">
        <v>119</v>
      </c>
      <c r="K26" s="11">
        <f t="shared" si="26"/>
        <v>1.5454545454545454</v>
      </c>
      <c r="L26" s="12">
        <v>13</v>
      </c>
      <c r="M26" s="12">
        <v>29</v>
      </c>
      <c r="N26" s="11">
        <f t="shared" si="29"/>
        <v>2.2307692307692308</v>
      </c>
      <c r="O26" s="12">
        <v>20</v>
      </c>
      <c r="P26" s="12">
        <v>13</v>
      </c>
      <c r="Q26" s="13">
        <f t="shared" si="28"/>
        <v>0.65</v>
      </c>
      <c r="R26" s="12">
        <v>11</v>
      </c>
      <c r="S26" s="22">
        <v>1</v>
      </c>
      <c r="T26" s="28"/>
      <c r="U26" s="25"/>
      <c r="V26" s="24"/>
      <c r="W26" s="36">
        <f t="shared" si="7"/>
        <v>177</v>
      </c>
      <c r="X26" s="1"/>
    </row>
    <row r="27" spans="1:24" x14ac:dyDescent="0.2">
      <c r="A27" s="1">
        <v>25</v>
      </c>
      <c r="B27" s="10" t="s">
        <v>38</v>
      </c>
      <c r="C27" s="7">
        <f t="shared" si="23"/>
        <v>60</v>
      </c>
      <c r="D27" s="7">
        <f t="shared" si="17"/>
        <v>265</v>
      </c>
      <c r="E27" s="11">
        <f t="shared" si="24"/>
        <v>4.416666666666667</v>
      </c>
      <c r="F27" s="12">
        <f>2+17+17</f>
        <v>36</v>
      </c>
      <c r="G27" s="12">
        <f>10+66+85</f>
        <v>161</v>
      </c>
      <c r="H27" s="11">
        <f t="shared" si="25"/>
        <v>4.4722222222222223</v>
      </c>
      <c r="I27" s="12">
        <f>5+11+6</f>
        <v>22</v>
      </c>
      <c r="J27" s="12">
        <f>18+48+31</f>
        <v>97</v>
      </c>
      <c r="K27" s="11">
        <f t="shared" si="26"/>
        <v>4.4090909090909092</v>
      </c>
      <c r="L27" s="12">
        <f>1+1</f>
        <v>2</v>
      </c>
      <c r="M27" s="12">
        <f>3+4</f>
        <v>7</v>
      </c>
      <c r="N27" s="11">
        <f t="shared" si="29"/>
        <v>3.5</v>
      </c>
      <c r="O27" s="12">
        <f>2+20+16</f>
        <v>38</v>
      </c>
      <c r="P27" s="12">
        <f>1+16+14</f>
        <v>31</v>
      </c>
      <c r="Q27" s="13">
        <f t="shared" si="28"/>
        <v>0.81578947368421051</v>
      </c>
      <c r="R27" s="12">
        <f>4+26+15</f>
        <v>45</v>
      </c>
      <c r="S27" s="22">
        <f>1+4+2</f>
        <v>7</v>
      </c>
      <c r="T27" s="28"/>
      <c r="U27" s="25"/>
      <c r="V27" s="24"/>
      <c r="W27" s="36">
        <f t="shared" si="7"/>
        <v>60</v>
      </c>
    </row>
    <row r="28" spans="1:24" x14ac:dyDescent="0.2">
      <c r="A28" s="1">
        <v>26</v>
      </c>
      <c r="B28" s="10" t="s">
        <v>39</v>
      </c>
      <c r="C28" s="7">
        <f t="shared" si="23"/>
        <v>285</v>
      </c>
      <c r="D28" s="7">
        <f t="shared" si="17"/>
        <v>263</v>
      </c>
      <c r="E28" s="11">
        <f t="shared" si="24"/>
        <v>0.92280701754385963</v>
      </c>
      <c r="F28" s="12">
        <v>134</v>
      </c>
      <c r="G28" s="12">
        <v>130</v>
      </c>
      <c r="H28" s="11">
        <f t="shared" si="25"/>
        <v>0.97014925373134331</v>
      </c>
      <c r="I28" s="12">
        <v>127</v>
      </c>
      <c r="J28" s="12">
        <v>116</v>
      </c>
      <c r="K28" s="11">
        <f t="shared" si="26"/>
        <v>0.91338582677165359</v>
      </c>
      <c r="L28" s="12">
        <v>24</v>
      </c>
      <c r="M28" s="12">
        <v>17</v>
      </c>
      <c r="N28" s="11">
        <f t="shared" si="29"/>
        <v>0.70833333333333337</v>
      </c>
      <c r="O28" s="12">
        <v>9</v>
      </c>
      <c r="P28" s="12">
        <v>6</v>
      </c>
      <c r="Q28" s="13">
        <f t="shared" si="28"/>
        <v>0.66666666666666663</v>
      </c>
      <c r="R28" s="12">
        <v>86</v>
      </c>
      <c r="S28" s="22">
        <v>3</v>
      </c>
      <c r="T28" s="28"/>
      <c r="U28" s="25"/>
      <c r="V28" s="24"/>
      <c r="W28" s="36">
        <f t="shared" si="7"/>
        <v>285</v>
      </c>
      <c r="X28" s="1"/>
    </row>
    <row r="29" spans="1:24" x14ac:dyDescent="0.2">
      <c r="A29" s="1">
        <v>27</v>
      </c>
      <c r="B29" s="10" t="s">
        <v>40</v>
      </c>
      <c r="C29" s="7">
        <f t="shared" si="23"/>
        <v>81</v>
      </c>
      <c r="D29" s="7">
        <f t="shared" si="17"/>
        <v>253</v>
      </c>
      <c r="E29" s="11">
        <f t="shared" si="24"/>
        <v>3.1234567901234569</v>
      </c>
      <c r="F29" s="12">
        <v>43</v>
      </c>
      <c r="G29" s="12">
        <v>146</v>
      </c>
      <c r="H29" s="11">
        <f t="shared" si="25"/>
        <v>3.3953488372093021</v>
      </c>
      <c r="I29" s="12">
        <v>32</v>
      </c>
      <c r="J29" s="12">
        <v>84</v>
      </c>
      <c r="K29" s="11">
        <f t="shared" si="26"/>
        <v>2.625</v>
      </c>
      <c r="L29" s="12">
        <v>6</v>
      </c>
      <c r="M29" s="12">
        <v>23</v>
      </c>
      <c r="N29" s="11">
        <f t="shared" si="29"/>
        <v>3.8333333333333335</v>
      </c>
      <c r="O29" s="12">
        <v>8</v>
      </c>
      <c r="P29" s="12">
        <v>6</v>
      </c>
      <c r="Q29" s="13">
        <f t="shared" si="28"/>
        <v>0.75</v>
      </c>
      <c r="R29" s="12">
        <v>13</v>
      </c>
      <c r="S29" s="22">
        <v>0</v>
      </c>
      <c r="T29" s="28"/>
      <c r="U29" s="25"/>
      <c r="V29" s="24"/>
      <c r="W29" s="36">
        <f t="shared" si="7"/>
        <v>81</v>
      </c>
      <c r="X29" s="1"/>
    </row>
    <row r="30" spans="1:24" x14ac:dyDescent="0.2">
      <c r="A30" s="1">
        <v>28</v>
      </c>
      <c r="B30" s="10" t="s">
        <v>42</v>
      </c>
      <c r="C30" s="7">
        <f t="shared" si="23"/>
        <v>115</v>
      </c>
      <c r="D30" s="7">
        <f t="shared" si="17"/>
        <v>245</v>
      </c>
      <c r="E30" s="11">
        <f t="shared" si="24"/>
        <v>2.1304347826086958</v>
      </c>
      <c r="F30" s="12">
        <v>59</v>
      </c>
      <c r="G30" s="12">
        <v>127</v>
      </c>
      <c r="H30" s="11">
        <f t="shared" si="25"/>
        <v>2.152542372881356</v>
      </c>
      <c r="I30" s="12">
        <v>47</v>
      </c>
      <c r="J30" s="12">
        <v>92</v>
      </c>
      <c r="K30" s="11">
        <f t="shared" si="26"/>
        <v>1.9574468085106382</v>
      </c>
      <c r="L30" s="12">
        <v>9</v>
      </c>
      <c r="M30" s="12">
        <v>26</v>
      </c>
      <c r="N30" s="11">
        <f t="shared" si="29"/>
        <v>2.8888888888888888</v>
      </c>
      <c r="O30" s="12">
        <v>1</v>
      </c>
      <c r="P30" s="12">
        <v>0</v>
      </c>
      <c r="Q30" s="13">
        <f t="shared" si="28"/>
        <v>0</v>
      </c>
      <c r="R30" s="12">
        <v>38</v>
      </c>
      <c r="S30" s="22">
        <v>2</v>
      </c>
      <c r="T30" s="28"/>
      <c r="U30" s="25"/>
      <c r="V30" s="24"/>
      <c r="W30" s="36">
        <f t="shared" si="7"/>
        <v>115</v>
      </c>
    </row>
    <row r="31" spans="1:24" x14ac:dyDescent="0.2">
      <c r="A31" s="1">
        <v>29</v>
      </c>
      <c r="B31" s="10" t="s">
        <v>43</v>
      </c>
      <c r="C31" s="7">
        <f t="shared" si="23"/>
        <v>169</v>
      </c>
      <c r="D31" s="7">
        <f t="shared" si="17"/>
        <v>242</v>
      </c>
      <c r="E31" s="11">
        <f t="shared" si="24"/>
        <v>1.4319526627218935</v>
      </c>
      <c r="F31" s="12">
        <v>97</v>
      </c>
      <c r="G31" s="12">
        <v>126</v>
      </c>
      <c r="H31" s="11">
        <f t="shared" si="25"/>
        <v>1.2989690721649485</v>
      </c>
      <c r="I31" s="12">
        <v>63</v>
      </c>
      <c r="J31" s="12">
        <v>97</v>
      </c>
      <c r="K31" s="11">
        <f t="shared" si="26"/>
        <v>1.5396825396825398</v>
      </c>
      <c r="L31" s="12">
        <v>9</v>
      </c>
      <c r="M31" s="12">
        <v>19</v>
      </c>
      <c r="N31" s="11">
        <f t="shared" si="29"/>
        <v>2.1111111111111112</v>
      </c>
      <c r="O31" s="12">
        <v>0</v>
      </c>
      <c r="P31" s="12">
        <v>0</v>
      </c>
      <c r="Q31" s="13">
        <v>0</v>
      </c>
      <c r="R31" s="12">
        <v>28</v>
      </c>
      <c r="S31" s="22">
        <v>4</v>
      </c>
      <c r="T31" s="28"/>
      <c r="U31" s="25"/>
      <c r="V31" s="24"/>
      <c r="W31" s="36">
        <f t="shared" si="7"/>
        <v>169</v>
      </c>
      <c r="X31" s="1"/>
    </row>
    <row r="32" spans="1:24" x14ac:dyDescent="0.2">
      <c r="A32" s="1">
        <v>30</v>
      </c>
      <c r="B32" s="10" t="s">
        <v>130</v>
      </c>
      <c r="C32" s="12">
        <f t="shared" si="23"/>
        <v>135</v>
      </c>
      <c r="D32" s="12">
        <f t="shared" si="17"/>
        <v>235</v>
      </c>
      <c r="E32" s="11">
        <f t="shared" si="24"/>
        <v>1.7407407407407407</v>
      </c>
      <c r="F32" s="12">
        <f>20+20+22+22</f>
        <v>84</v>
      </c>
      <c r="G32" s="12">
        <f>27+31+37+42</f>
        <v>137</v>
      </c>
      <c r="H32" s="11">
        <f t="shared" si="25"/>
        <v>1.6309523809523809</v>
      </c>
      <c r="I32" s="12">
        <f>11+9+14+10</f>
        <v>44</v>
      </c>
      <c r="J32" s="12">
        <f>27+19+18+22</f>
        <v>86</v>
      </c>
      <c r="K32" s="11">
        <f t="shared" si="26"/>
        <v>1.9545454545454546</v>
      </c>
      <c r="L32" s="12">
        <f>1+1+3+2</f>
        <v>7</v>
      </c>
      <c r="M32" s="12">
        <f>2+2+6+2</f>
        <v>12</v>
      </c>
      <c r="N32" s="11">
        <f t="shared" si="29"/>
        <v>1.7142857142857142</v>
      </c>
      <c r="O32" s="12">
        <v>1</v>
      </c>
      <c r="P32" s="12">
        <v>0</v>
      </c>
      <c r="Q32" s="13">
        <v>0</v>
      </c>
      <c r="R32" s="12">
        <f>9+12+7+7</f>
        <v>35</v>
      </c>
      <c r="S32" s="22">
        <v>0</v>
      </c>
      <c r="T32" s="39"/>
      <c r="U32" s="25"/>
      <c r="V32" s="24"/>
      <c r="W32" s="36">
        <f t="shared" si="7"/>
        <v>135</v>
      </c>
      <c r="X32" s="1"/>
    </row>
    <row r="33" spans="1:24" x14ac:dyDescent="0.2">
      <c r="A33" s="1">
        <v>31</v>
      </c>
      <c r="B33" s="10" t="s">
        <v>44</v>
      </c>
      <c r="C33" s="7">
        <f t="shared" si="23"/>
        <v>134</v>
      </c>
      <c r="D33" s="7">
        <f t="shared" si="17"/>
        <v>217</v>
      </c>
      <c r="E33" s="11">
        <f t="shared" si="24"/>
        <v>1.6194029850746268</v>
      </c>
      <c r="F33" s="12">
        <f>0+6+14+2+9+21+15+19</f>
        <v>86</v>
      </c>
      <c r="G33" s="12">
        <f>0+1+5+2+14+41+25+55</f>
        <v>143</v>
      </c>
      <c r="H33" s="11">
        <f t="shared" si="25"/>
        <v>1.6627906976744187</v>
      </c>
      <c r="I33" s="12">
        <f>3+2+3+4+6+5+16+8</f>
        <v>47</v>
      </c>
      <c r="J33" s="12">
        <f>1+2+1+6+6+45+13</f>
        <v>74</v>
      </c>
      <c r="K33" s="11">
        <f t="shared" si="26"/>
        <v>1.574468085106383</v>
      </c>
      <c r="L33" s="12">
        <f>1</f>
        <v>1</v>
      </c>
      <c r="M33" s="12">
        <v>0</v>
      </c>
      <c r="N33" s="11">
        <v>0</v>
      </c>
      <c r="O33" s="12">
        <f>2+1+2+15+17+27</f>
        <v>64</v>
      </c>
      <c r="P33" s="12">
        <f>0+1+2+11+13+17</f>
        <v>44</v>
      </c>
      <c r="Q33" s="13">
        <f>P33/O33</f>
        <v>0.6875</v>
      </c>
      <c r="R33" s="12">
        <f>1+4+9+2+6+8+6+11</f>
        <v>47</v>
      </c>
      <c r="S33" s="22">
        <f>1</f>
        <v>1</v>
      </c>
      <c r="T33" s="28"/>
      <c r="U33" s="25"/>
      <c r="V33" s="24"/>
      <c r="W33" s="36">
        <f t="shared" si="7"/>
        <v>134</v>
      </c>
      <c r="X33" s="1"/>
    </row>
    <row r="34" spans="1:24" x14ac:dyDescent="0.2">
      <c r="A34" s="1">
        <v>32</v>
      </c>
      <c r="B34" s="46" t="s">
        <v>136</v>
      </c>
      <c r="C34" s="12">
        <f t="shared" si="23"/>
        <v>42</v>
      </c>
      <c r="D34" s="12">
        <f t="shared" si="17"/>
        <v>199</v>
      </c>
      <c r="E34" s="11">
        <f t="shared" si="24"/>
        <v>4.7380952380952381</v>
      </c>
      <c r="F34" s="12">
        <f>2+3+3+3+17</f>
        <v>28</v>
      </c>
      <c r="G34" s="12">
        <f>2+11+15+11+99</f>
        <v>138</v>
      </c>
      <c r="H34" s="11">
        <f t="shared" si="25"/>
        <v>4.9285714285714288</v>
      </c>
      <c r="I34" s="12">
        <f>3+2+0+1+4</f>
        <v>10</v>
      </c>
      <c r="J34" s="12">
        <f>6+6+0+8+35</f>
        <v>55</v>
      </c>
      <c r="K34" s="11">
        <f t="shared" si="26"/>
        <v>5.5</v>
      </c>
      <c r="L34" s="12">
        <f>1+1+1+1</f>
        <v>4</v>
      </c>
      <c r="M34" s="12">
        <f>0+1+4+1</f>
        <v>6</v>
      </c>
      <c r="N34" s="11">
        <f>M34/L34</f>
        <v>1.5</v>
      </c>
      <c r="O34" s="12">
        <v>11</v>
      </c>
      <c r="P34" s="12">
        <v>9</v>
      </c>
      <c r="Q34" s="13">
        <f>P34/O34</f>
        <v>0.81818181818181823</v>
      </c>
      <c r="R34" s="12">
        <f>1+2+3</f>
        <v>6</v>
      </c>
      <c r="S34" s="22">
        <v>0</v>
      </c>
      <c r="T34" s="31" t="s">
        <v>148</v>
      </c>
      <c r="U34" s="32"/>
      <c r="V34" s="24"/>
      <c r="W34" s="36">
        <f t="shared" si="7"/>
        <v>42</v>
      </c>
    </row>
    <row r="35" spans="1:24" x14ac:dyDescent="0.2">
      <c r="A35" s="1">
        <v>33</v>
      </c>
      <c r="B35" s="10" t="s">
        <v>63</v>
      </c>
      <c r="C35" s="7">
        <f t="shared" si="16"/>
        <v>69</v>
      </c>
      <c r="D35" s="7">
        <f t="shared" si="17"/>
        <v>184</v>
      </c>
      <c r="E35" s="11">
        <f t="shared" si="18"/>
        <v>2.6666666666666665</v>
      </c>
      <c r="F35" s="12">
        <f>1+16+4+2+1+11+1+10</f>
        <v>46</v>
      </c>
      <c r="G35" s="12">
        <f>0+28+6+2+1+57+10+33</f>
        <v>137</v>
      </c>
      <c r="H35" s="11">
        <f t="shared" si="19"/>
        <v>2.9782608695652173</v>
      </c>
      <c r="I35" s="12">
        <f>0+9+3+4+5</f>
        <v>21</v>
      </c>
      <c r="J35" s="12">
        <f>0+16+2+0+27</f>
        <v>45</v>
      </c>
      <c r="K35" s="11">
        <f t="shared" si="20"/>
        <v>2.1428571428571428</v>
      </c>
      <c r="L35" s="12">
        <f>0+2</f>
        <v>2</v>
      </c>
      <c r="M35" s="12">
        <f>0+2</f>
        <v>2</v>
      </c>
      <c r="N35" s="11">
        <f>M35/L35</f>
        <v>1</v>
      </c>
      <c r="O35" s="12">
        <f>2+1</f>
        <v>3</v>
      </c>
      <c r="P35" s="12">
        <f>1+1</f>
        <v>2</v>
      </c>
      <c r="Q35" s="13">
        <f>P35/O35</f>
        <v>0.66666666666666663</v>
      </c>
      <c r="R35" s="12">
        <f>0+11+5+1+7+1+4</f>
        <v>29</v>
      </c>
      <c r="S35" s="22">
        <f>1</f>
        <v>1</v>
      </c>
      <c r="T35" s="28" t="s">
        <v>141</v>
      </c>
      <c r="U35" s="25"/>
      <c r="V35" s="24"/>
      <c r="W35" s="36">
        <f t="shared" ref="W35:W66" si="30">C35+U35+V35</f>
        <v>69</v>
      </c>
      <c r="X35" s="1"/>
    </row>
    <row r="36" spans="1:24" x14ac:dyDescent="0.2">
      <c r="A36" s="1">
        <v>34</v>
      </c>
      <c r="B36" s="10" t="s">
        <v>46</v>
      </c>
      <c r="C36" s="7">
        <f t="shared" ref="C36:C46" si="31">+F36+I36+L36</f>
        <v>178</v>
      </c>
      <c r="D36" s="7">
        <f t="shared" ref="D36:D46" si="32">+G36+J36+M36</f>
        <v>181</v>
      </c>
      <c r="E36" s="11">
        <f t="shared" ref="E36:E46" si="33">D36/C36</f>
        <v>1.0168539325842696</v>
      </c>
      <c r="F36" s="12">
        <f>30+18+15+15+12</f>
        <v>90</v>
      </c>
      <c r="G36" s="12">
        <f>28+20+15+14+14</f>
        <v>91</v>
      </c>
      <c r="H36" s="11">
        <f t="shared" ref="H36:H52" si="34">G36/F36</f>
        <v>1.0111111111111111</v>
      </c>
      <c r="I36" s="12">
        <f>31+13+10+14+5</f>
        <v>73</v>
      </c>
      <c r="J36" s="12">
        <f>41+9+7+10+1</f>
        <v>68</v>
      </c>
      <c r="K36" s="11">
        <f t="shared" ref="K36:K46" si="35">J36/I36</f>
        <v>0.93150684931506844</v>
      </c>
      <c r="L36" s="12">
        <v>15</v>
      </c>
      <c r="M36" s="12">
        <f>12+10</f>
        <v>22</v>
      </c>
      <c r="N36" s="11">
        <f>M36/L36</f>
        <v>1.4666666666666666</v>
      </c>
      <c r="O36" s="12">
        <v>0</v>
      </c>
      <c r="P36" s="12">
        <v>0</v>
      </c>
      <c r="Q36" s="13">
        <v>0</v>
      </c>
      <c r="R36" s="12">
        <f>21+4+1</f>
        <v>26</v>
      </c>
      <c r="S36" s="22">
        <v>1</v>
      </c>
      <c r="T36" s="28"/>
      <c r="U36" s="25"/>
      <c r="V36" s="24"/>
      <c r="W36" s="36">
        <f t="shared" si="30"/>
        <v>178</v>
      </c>
      <c r="X36" s="1"/>
    </row>
    <row r="37" spans="1:24" x14ac:dyDescent="0.2">
      <c r="A37" s="1">
        <v>35</v>
      </c>
      <c r="B37" s="10" t="s">
        <v>47</v>
      </c>
      <c r="C37" s="7">
        <f t="shared" si="31"/>
        <v>230</v>
      </c>
      <c r="D37" s="7">
        <f t="shared" si="32"/>
        <v>178</v>
      </c>
      <c r="E37" s="11">
        <f t="shared" si="33"/>
        <v>0.77391304347826084</v>
      </c>
      <c r="F37" s="12">
        <f>95+16+5+2</f>
        <v>118</v>
      </c>
      <c r="G37" s="12">
        <f>72+5+3</f>
        <v>80</v>
      </c>
      <c r="H37" s="11">
        <f t="shared" si="34"/>
        <v>0.67796610169491522</v>
      </c>
      <c r="I37" s="12">
        <f>79+11+6</f>
        <v>96</v>
      </c>
      <c r="J37" s="12">
        <f>70+3+3</f>
        <v>76</v>
      </c>
      <c r="K37" s="11">
        <f t="shared" si="35"/>
        <v>0.79166666666666663</v>
      </c>
      <c r="L37" s="12">
        <f>15+1</f>
        <v>16</v>
      </c>
      <c r="M37" s="12">
        <v>22</v>
      </c>
      <c r="N37" s="11">
        <f>M37/L37</f>
        <v>1.375</v>
      </c>
      <c r="O37" s="12">
        <v>2</v>
      </c>
      <c r="P37" s="12">
        <v>1</v>
      </c>
      <c r="Q37" s="13">
        <f>P37/O37</f>
        <v>0.5</v>
      </c>
      <c r="R37" s="12">
        <f>13+1</f>
        <v>14</v>
      </c>
      <c r="S37" s="22">
        <v>0</v>
      </c>
      <c r="T37" s="28"/>
      <c r="U37" s="25"/>
      <c r="V37" s="24"/>
      <c r="W37" s="36">
        <f t="shared" si="30"/>
        <v>230</v>
      </c>
    </row>
    <row r="38" spans="1:24" x14ac:dyDescent="0.2">
      <c r="A38" s="1">
        <v>36</v>
      </c>
      <c r="B38" s="10" t="s">
        <v>48</v>
      </c>
      <c r="C38" s="7">
        <f t="shared" si="31"/>
        <v>205</v>
      </c>
      <c r="D38" s="7">
        <f t="shared" si="32"/>
        <v>177</v>
      </c>
      <c r="E38" s="11">
        <f t="shared" si="33"/>
        <v>0.86341463414634145</v>
      </c>
      <c r="F38" s="12">
        <f>6+17+15+18+18+18+18+4</f>
        <v>114</v>
      </c>
      <c r="G38" s="12">
        <f>1+14+13+22+14+14+28+3</f>
        <v>109</v>
      </c>
      <c r="H38" s="11">
        <f t="shared" si="34"/>
        <v>0.95614035087719296</v>
      </c>
      <c r="I38" s="12">
        <f>6+14+14+14+13+10+9+1+1</f>
        <v>82</v>
      </c>
      <c r="J38" s="12">
        <f>3+7+20+6+12+7+8</f>
        <v>63</v>
      </c>
      <c r="K38" s="11">
        <f t="shared" si="35"/>
        <v>0.76829268292682928</v>
      </c>
      <c r="L38" s="12">
        <f>7+1+1</f>
        <v>9</v>
      </c>
      <c r="M38" s="12">
        <f>0+3+2</f>
        <v>5</v>
      </c>
      <c r="N38" s="11">
        <f>M38/L38</f>
        <v>0.55555555555555558</v>
      </c>
      <c r="O38" s="12">
        <f>2+1+1</f>
        <v>4</v>
      </c>
      <c r="P38" s="12">
        <v>1</v>
      </c>
      <c r="Q38" s="13">
        <f>P38/O38</f>
        <v>0.25</v>
      </c>
      <c r="R38" s="12">
        <f>1+8+17+14+5+10+6+1</f>
        <v>62</v>
      </c>
      <c r="S38" s="22">
        <f>2+1</f>
        <v>3</v>
      </c>
      <c r="T38" s="28"/>
      <c r="U38" s="25"/>
      <c r="V38" s="24"/>
      <c r="W38" s="36">
        <f t="shared" si="30"/>
        <v>205</v>
      </c>
      <c r="X38" s="1"/>
    </row>
    <row r="39" spans="1:24" x14ac:dyDescent="0.2">
      <c r="A39" s="1">
        <v>37</v>
      </c>
      <c r="B39" s="10" t="s">
        <v>49</v>
      </c>
      <c r="C39" s="7">
        <f t="shared" si="31"/>
        <v>132</v>
      </c>
      <c r="D39" s="7">
        <f t="shared" si="32"/>
        <v>167</v>
      </c>
      <c r="E39" s="11">
        <f t="shared" si="33"/>
        <v>1.2651515151515151</v>
      </c>
      <c r="F39" s="12">
        <f>4+8+1+17+13+15+17+15</f>
        <v>90</v>
      </c>
      <c r="G39" s="12">
        <f>2+8+21+20+13+23+24</f>
        <v>111</v>
      </c>
      <c r="H39" s="11">
        <f t="shared" si="34"/>
        <v>1.2333333333333334</v>
      </c>
      <c r="I39" s="12">
        <f>2+1+2+9+9+3+11+5</f>
        <v>42</v>
      </c>
      <c r="J39" s="12">
        <f>1+11+13+1+20+10</f>
        <v>56</v>
      </c>
      <c r="K39" s="11">
        <f t="shared" si="35"/>
        <v>1.3333333333333333</v>
      </c>
      <c r="L39" s="12">
        <v>0</v>
      </c>
      <c r="M39" s="12">
        <v>0</v>
      </c>
      <c r="N39" s="11">
        <v>0</v>
      </c>
      <c r="O39" s="12">
        <v>1</v>
      </c>
      <c r="P39" s="12">
        <v>0</v>
      </c>
      <c r="Q39" s="13">
        <f>P39/O39</f>
        <v>0</v>
      </c>
      <c r="R39" s="12">
        <f>4+3+33+27+11+22+24</f>
        <v>124</v>
      </c>
      <c r="S39" s="22">
        <f>0+3+5+2+7+5</f>
        <v>22</v>
      </c>
      <c r="T39" s="28"/>
      <c r="U39" s="25"/>
      <c r="V39" s="24"/>
      <c r="W39" s="36">
        <f t="shared" si="30"/>
        <v>132</v>
      </c>
      <c r="X39" s="45"/>
    </row>
    <row r="40" spans="1:24" x14ac:dyDescent="0.2">
      <c r="A40" s="1">
        <v>38</v>
      </c>
      <c r="B40" s="10" t="s">
        <v>50</v>
      </c>
      <c r="C40" s="7">
        <f t="shared" si="31"/>
        <v>58</v>
      </c>
      <c r="D40" s="7">
        <f t="shared" si="32"/>
        <v>155</v>
      </c>
      <c r="E40" s="11">
        <f t="shared" si="33"/>
        <v>2.6724137931034484</v>
      </c>
      <c r="F40" s="12">
        <v>27</v>
      </c>
      <c r="G40" s="12">
        <v>78</v>
      </c>
      <c r="H40" s="11">
        <f t="shared" si="34"/>
        <v>2.8888888888888888</v>
      </c>
      <c r="I40" s="12">
        <v>25</v>
      </c>
      <c r="J40" s="12">
        <v>65</v>
      </c>
      <c r="K40" s="11">
        <f t="shared" si="35"/>
        <v>2.6</v>
      </c>
      <c r="L40" s="12">
        <v>6</v>
      </c>
      <c r="M40" s="12">
        <v>12</v>
      </c>
      <c r="N40" s="11">
        <f>M40/L40</f>
        <v>2</v>
      </c>
      <c r="O40" s="12">
        <v>15</v>
      </c>
      <c r="P40" s="12">
        <v>8</v>
      </c>
      <c r="Q40" s="13">
        <f>P40/O40</f>
        <v>0.53333333333333333</v>
      </c>
      <c r="R40" s="12">
        <v>6</v>
      </c>
      <c r="S40" s="22">
        <v>0</v>
      </c>
      <c r="T40" s="28"/>
      <c r="U40" s="25"/>
      <c r="V40" s="24"/>
      <c r="W40" s="36">
        <f t="shared" si="30"/>
        <v>58</v>
      </c>
      <c r="X40" s="1"/>
    </row>
    <row r="41" spans="1:24" x14ac:dyDescent="0.2">
      <c r="A41" s="1">
        <v>39</v>
      </c>
      <c r="B41" s="10" t="s">
        <v>52</v>
      </c>
      <c r="C41" s="7">
        <f t="shared" si="31"/>
        <v>203</v>
      </c>
      <c r="D41" s="7">
        <f t="shared" si="32"/>
        <v>126</v>
      </c>
      <c r="E41" s="11">
        <f t="shared" si="33"/>
        <v>0.62068965517241381</v>
      </c>
      <c r="F41" s="12">
        <f>24+18+14+18+18+17+8</f>
        <v>117</v>
      </c>
      <c r="G41" s="12">
        <f>15+3+8+9+17+11+14</f>
        <v>77</v>
      </c>
      <c r="H41" s="11">
        <f t="shared" si="34"/>
        <v>0.65811965811965811</v>
      </c>
      <c r="I41" s="12">
        <f>15+13+10+13+10+10+5</f>
        <v>76</v>
      </c>
      <c r="J41" s="12">
        <f>11+9+6+5+7+5+2</f>
        <v>45</v>
      </c>
      <c r="K41" s="11">
        <f t="shared" si="35"/>
        <v>0.59210526315789469</v>
      </c>
      <c r="L41" s="12">
        <f>7+1+1+1</f>
        <v>10</v>
      </c>
      <c r="M41" s="12">
        <f>1+1+2</f>
        <v>4</v>
      </c>
      <c r="N41" s="11">
        <f>M41/L41</f>
        <v>0.4</v>
      </c>
      <c r="O41" s="12">
        <v>0</v>
      </c>
      <c r="P41" s="12">
        <v>0</v>
      </c>
      <c r="Q41" s="13">
        <v>0</v>
      </c>
      <c r="R41" s="12">
        <f>2+5+2+6+7+4+1</f>
        <v>27</v>
      </c>
      <c r="S41" s="22">
        <v>0</v>
      </c>
      <c r="T41" s="28"/>
      <c r="U41" s="25"/>
      <c r="V41" s="24"/>
      <c r="W41" s="36">
        <f t="shared" si="30"/>
        <v>203</v>
      </c>
      <c r="X41" s="1"/>
    </row>
    <row r="42" spans="1:24" x14ac:dyDescent="0.2">
      <c r="A42" s="1">
        <v>40</v>
      </c>
      <c r="B42" s="10" t="s">
        <v>128</v>
      </c>
      <c r="C42" s="12">
        <f>+F42+I42+L42</f>
        <v>72</v>
      </c>
      <c r="D42" s="12">
        <f>+G42+J42+M42</f>
        <v>124</v>
      </c>
      <c r="E42" s="11">
        <f>D42/C42</f>
        <v>1.7222222222222223</v>
      </c>
      <c r="F42" s="12">
        <f>2+1+20+14+15</f>
        <v>52</v>
      </c>
      <c r="G42" s="12">
        <f>1+1+22+21+23</f>
        <v>68</v>
      </c>
      <c r="H42" s="11">
        <f>G42/F42</f>
        <v>1.3076923076923077</v>
      </c>
      <c r="I42" s="12">
        <f>0+8+6+2</f>
        <v>16</v>
      </c>
      <c r="J42" s="12">
        <f>0+11+31+9</f>
        <v>51</v>
      </c>
      <c r="K42" s="11">
        <f>J42/I42</f>
        <v>3.1875</v>
      </c>
      <c r="L42" s="12">
        <f>0+2+1+1</f>
        <v>4</v>
      </c>
      <c r="M42" s="12">
        <f>0+5+0</f>
        <v>5</v>
      </c>
      <c r="N42" s="11">
        <f>M42/L42</f>
        <v>1.25</v>
      </c>
      <c r="O42" s="12">
        <v>1</v>
      </c>
      <c r="P42" s="12">
        <v>1</v>
      </c>
      <c r="Q42" s="13">
        <f>P42/O42</f>
        <v>1</v>
      </c>
      <c r="R42" s="12">
        <f>1+7+5+8</f>
        <v>21</v>
      </c>
      <c r="S42" s="22">
        <f>1</f>
        <v>1</v>
      </c>
      <c r="T42" s="28" t="s">
        <v>142</v>
      </c>
      <c r="U42" s="25"/>
      <c r="V42" s="24"/>
      <c r="W42" s="36">
        <f t="shared" si="30"/>
        <v>72</v>
      </c>
      <c r="X42" s="1"/>
    </row>
    <row r="43" spans="1:24" x14ac:dyDescent="0.2">
      <c r="A43" s="1">
        <v>41</v>
      </c>
      <c r="B43" s="10" t="s">
        <v>54</v>
      </c>
      <c r="C43" s="12">
        <f t="shared" si="31"/>
        <v>63</v>
      </c>
      <c r="D43" s="12">
        <f t="shared" si="32"/>
        <v>109</v>
      </c>
      <c r="E43" s="11">
        <f t="shared" si="33"/>
        <v>1.7301587301587302</v>
      </c>
      <c r="F43" s="12">
        <f>1+3+20+14</f>
        <v>38</v>
      </c>
      <c r="G43" s="12">
        <f>0+33+23</f>
        <v>56</v>
      </c>
      <c r="H43" s="11">
        <f t="shared" si="34"/>
        <v>1.4736842105263157</v>
      </c>
      <c r="I43" s="12">
        <f>2+4+14+5</f>
        <v>25</v>
      </c>
      <c r="J43" s="12">
        <f>2+6+37+8</f>
        <v>53</v>
      </c>
      <c r="K43" s="11">
        <f t="shared" si="35"/>
        <v>2.12</v>
      </c>
      <c r="L43" s="12">
        <v>0</v>
      </c>
      <c r="M43" s="12">
        <v>0</v>
      </c>
      <c r="N43" s="11">
        <v>0</v>
      </c>
      <c r="O43" s="12">
        <f>0+2</f>
        <v>2</v>
      </c>
      <c r="P43" s="12">
        <f>0+2</f>
        <v>2</v>
      </c>
      <c r="Q43" s="13">
        <f>P43/O43</f>
        <v>1</v>
      </c>
      <c r="R43" s="12">
        <f>4+19+10</f>
        <v>33</v>
      </c>
      <c r="S43" s="22">
        <f>0+1</f>
        <v>1</v>
      </c>
      <c r="T43" s="28"/>
      <c r="U43" s="25"/>
      <c r="V43" s="24"/>
      <c r="W43" s="36">
        <f t="shared" si="30"/>
        <v>63</v>
      </c>
      <c r="X43" s="1"/>
    </row>
    <row r="44" spans="1:24" x14ac:dyDescent="0.2">
      <c r="A44" s="1">
        <v>42</v>
      </c>
      <c r="B44" s="10" t="s">
        <v>55</v>
      </c>
      <c r="C44" s="7">
        <f t="shared" si="31"/>
        <v>38</v>
      </c>
      <c r="D44" s="7">
        <f t="shared" si="32"/>
        <v>103</v>
      </c>
      <c r="E44" s="11">
        <f t="shared" si="33"/>
        <v>2.7105263157894739</v>
      </c>
      <c r="F44" s="12">
        <v>19</v>
      </c>
      <c r="G44" s="12">
        <v>50</v>
      </c>
      <c r="H44" s="11">
        <f t="shared" si="34"/>
        <v>2.6315789473684212</v>
      </c>
      <c r="I44" s="12">
        <v>16</v>
      </c>
      <c r="J44" s="12">
        <v>44</v>
      </c>
      <c r="K44" s="11">
        <f t="shared" si="35"/>
        <v>2.75</v>
      </c>
      <c r="L44" s="12">
        <v>3</v>
      </c>
      <c r="M44" s="12">
        <v>9</v>
      </c>
      <c r="N44" s="11">
        <f>M44/L44</f>
        <v>3</v>
      </c>
      <c r="O44" s="12">
        <v>6</v>
      </c>
      <c r="P44" s="12">
        <v>3</v>
      </c>
      <c r="Q44" s="13">
        <f>P44/O44</f>
        <v>0.5</v>
      </c>
      <c r="R44" s="12">
        <v>10</v>
      </c>
      <c r="S44" s="22">
        <v>1</v>
      </c>
      <c r="T44" s="28"/>
      <c r="U44" s="25"/>
      <c r="V44" s="24"/>
      <c r="W44" s="36">
        <f t="shared" si="30"/>
        <v>38</v>
      </c>
      <c r="X44" s="1"/>
    </row>
    <row r="45" spans="1:24" x14ac:dyDescent="0.2">
      <c r="A45" s="1">
        <v>43</v>
      </c>
      <c r="B45" s="10" t="s">
        <v>56</v>
      </c>
      <c r="C45" s="7">
        <f t="shared" si="31"/>
        <v>132</v>
      </c>
      <c r="D45" s="7">
        <f t="shared" si="32"/>
        <v>102</v>
      </c>
      <c r="E45" s="11">
        <f t="shared" si="33"/>
        <v>0.77272727272727271</v>
      </c>
      <c r="F45" s="12">
        <f>17+1+2+22+17+16</f>
        <v>75</v>
      </c>
      <c r="G45" s="12">
        <f>5+2+2+20+17+11</f>
        <v>57</v>
      </c>
      <c r="H45" s="11">
        <f t="shared" si="34"/>
        <v>0.76</v>
      </c>
      <c r="I45" s="12">
        <f>12+8+5+12+12+6</f>
        <v>55</v>
      </c>
      <c r="J45" s="12">
        <f>6+1+0+12+18+7</f>
        <v>44</v>
      </c>
      <c r="K45" s="11">
        <f t="shared" si="35"/>
        <v>0.8</v>
      </c>
      <c r="L45" s="12">
        <f>2</f>
        <v>2</v>
      </c>
      <c r="M45" s="12">
        <f>1</f>
        <v>1</v>
      </c>
      <c r="N45" s="11">
        <f>M45/L45</f>
        <v>0.5</v>
      </c>
      <c r="O45" s="12">
        <v>0</v>
      </c>
      <c r="P45" s="12">
        <v>0</v>
      </c>
      <c r="Q45" s="13">
        <v>0</v>
      </c>
      <c r="R45" s="12">
        <f>4+1+6+3+3</f>
        <v>17</v>
      </c>
      <c r="S45" s="22">
        <v>0</v>
      </c>
      <c r="T45" s="28"/>
      <c r="U45" s="25"/>
      <c r="V45" s="24"/>
      <c r="W45" s="36">
        <f t="shared" si="30"/>
        <v>132</v>
      </c>
      <c r="X45" s="1"/>
    </row>
    <row r="46" spans="1:24" x14ac:dyDescent="0.2">
      <c r="A46" s="1">
        <v>44</v>
      </c>
      <c r="B46" s="10" t="s">
        <v>57</v>
      </c>
      <c r="C46" s="7">
        <f t="shared" si="31"/>
        <v>54</v>
      </c>
      <c r="D46" s="7">
        <f t="shared" si="32"/>
        <v>94</v>
      </c>
      <c r="E46" s="11">
        <f t="shared" si="33"/>
        <v>1.7407407407407407</v>
      </c>
      <c r="F46" s="12">
        <f>1+13+16</f>
        <v>30</v>
      </c>
      <c r="G46" s="12">
        <f>0+19+28</f>
        <v>47</v>
      </c>
      <c r="H46" s="11">
        <f t="shared" si="34"/>
        <v>1.5666666666666667</v>
      </c>
      <c r="I46" s="12">
        <f>2+7+14</f>
        <v>23</v>
      </c>
      <c r="J46" s="12">
        <f>2+14+30</f>
        <v>46</v>
      </c>
      <c r="K46" s="11">
        <f t="shared" si="35"/>
        <v>2</v>
      </c>
      <c r="L46" s="12">
        <v>1</v>
      </c>
      <c r="M46" s="12">
        <v>1</v>
      </c>
      <c r="N46" s="11">
        <v>0</v>
      </c>
      <c r="O46" s="12">
        <v>1</v>
      </c>
      <c r="P46" s="12">
        <v>0</v>
      </c>
      <c r="Q46" s="13">
        <f>P46/O46</f>
        <v>0</v>
      </c>
      <c r="R46" s="12">
        <f>1+8+15</f>
        <v>24</v>
      </c>
      <c r="S46" s="22">
        <v>0</v>
      </c>
      <c r="T46" s="28"/>
      <c r="U46" s="25"/>
      <c r="V46" s="24"/>
      <c r="W46" s="36">
        <f t="shared" si="30"/>
        <v>54</v>
      </c>
      <c r="X46" s="1"/>
    </row>
    <row r="47" spans="1:24" x14ac:dyDescent="0.2">
      <c r="A47" s="1">
        <v>45</v>
      </c>
      <c r="B47" s="10" t="s">
        <v>58</v>
      </c>
      <c r="C47" s="7">
        <f t="shared" ref="C47:D50" si="36">+F47+I47+L47</f>
        <v>66</v>
      </c>
      <c r="D47" s="7">
        <f t="shared" si="36"/>
        <v>87</v>
      </c>
      <c r="E47" s="11">
        <f>D47/C47</f>
        <v>1.3181818181818181</v>
      </c>
      <c r="F47" s="12">
        <f>15+16+2</f>
        <v>33</v>
      </c>
      <c r="G47" s="12">
        <f>19+18+5</f>
        <v>42</v>
      </c>
      <c r="H47" s="11">
        <f>G47/F47</f>
        <v>1.2727272727272727</v>
      </c>
      <c r="I47" s="12">
        <f>12+12+4</f>
        <v>28</v>
      </c>
      <c r="J47" s="12">
        <f>19+10+11</f>
        <v>40</v>
      </c>
      <c r="K47" s="11">
        <f>J47/I47</f>
        <v>1.4285714285714286</v>
      </c>
      <c r="L47" s="12">
        <v>5</v>
      </c>
      <c r="M47" s="12">
        <v>5</v>
      </c>
      <c r="N47" s="11">
        <f>M47/L47</f>
        <v>1</v>
      </c>
      <c r="O47" s="12">
        <v>0</v>
      </c>
      <c r="P47" s="12">
        <v>0</v>
      </c>
      <c r="Q47" s="13">
        <v>0</v>
      </c>
      <c r="R47" s="12">
        <f>12+15</f>
        <v>27</v>
      </c>
      <c r="S47" s="22">
        <v>1</v>
      </c>
      <c r="T47" s="28"/>
      <c r="U47" s="25"/>
      <c r="V47" s="24"/>
      <c r="W47" s="36">
        <f t="shared" si="30"/>
        <v>66</v>
      </c>
      <c r="X47" s="1"/>
    </row>
    <row r="48" spans="1:24" x14ac:dyDescent="0.2">
      <c r="A48" s="1">
        <v>46</v>
      </c>
      <c r="B48" s="10" t="s">
        <v>59</v>
      </c>
      <c r="C48" s="7">
        <f t="shared" si="36"/>
        <v>28</v>
      </c>
      <c r="D48" s="7">
        <f t="shared" si="36"/>
        <v>85</v>
      </c>
      <c r="E48" s="11">
        <f>D48/C48</f>
        <v>3.0357142857142856</v>
      </c>
      <c r="F48" s="12">
        <v>15</v>
      </c>
      <c r="G48" s="12">
        <v>52</v>
      </c>
      <c r="H48" s="11">
        <f>G48/F48</f>
        <v>3.4666666666666668</v>
      </c>
      <c r="I48" s="12">
        <v>12</v>
      </c>
      <c r="J48" s="12">
        <v>29</v>
      </c>
      <c r="K48" s="11">
        <f>J48/I48</f>
        <v>2.4166666666666665</v>
      </c>
      <c r="L48" s="12">
        <v>1</v>
      </c>
      <c r="M48" s="12">
        <v>4</v>
      </c>
      <c r="N48" s="11">
        <f>M48/L48</f>
        <v>4</v>
      </c>
      <c r="O48" s="12">
        <v>16</v>
      </c>
      <c r="P48" s="12">
        <v>11</v>
      </c>
      <c r="Q48" s="13">
        <f>P48/O48</f>
        <v>0.6875</v>
      </c>
      <c r="R48" s="12">
        <v>3</v>
      </c>
      <c r="S48" s="22">
        <v>0</v>
      </c>
      <c r="T48" s="28"/>
      <c r="U48" s="25"/>
      <c r="V48" s="24"/>
      <c r="W48" s="36">
        <f t="shared" si="30"/>
        <v>28</v>
      </c>
      <c r="X48" s="1"/>
    </row>
    <row r="49" spans="1:24" x14ac:dyDescent="0.2">
      <c r="A49" s="1">
        <v>47</v>
      </c>
      <c r="B49" s="10" t="s">
        <v>60</v>
      </c>
      <c r="C49" s="7">
        <f t="shared" si="36"/>
        <v>34</v>
      </c>
      <c r="D49" s="7">
        <f t="shared" si="36"/>
        <v>81</v>
      </c>
      <c r="E49" s="11">
        <f>D49/C49</f>
        <v>2.3823529411764706</v>
      </c>
      <c r="F49" s="12">
        <v>20</v>
      </c>
      <c r="G49" s="12">
        <v>55</v>
      </c>
      <c r="H49" s="11">
        <f>G49/F49</f>
        <v>2.75</v>
      </c>
      <c r="I49" s="12">
        <v>12</v>
      </c>
      <c r="J49" s="12">
        <v>17</v>
      </c>
      <c r="K49" s="11">
        <f>J49/I49</f>
        <v>1.4166666666666667</v>
      </c>
      <c r="L49" s="12">
        <v>2</v>
      </c>
      <c r="M49" s="12">
        <v>9</v>
      </c>
      <c r="N49" s="11">
        <f>M49/L49</f>
        <v>4.5</v>
      </c>
      <c r="O49" s="12">
        <v>26</v>
      </c>
      <c r="P49" s="12">
        <v>20</v>
      </c>
      <c r="Q49" s="13">
        <f>P49/O49</f>
        <v>0.76923076923076927</v>
      </c>
      <c r="R49" s="12">
        <v>2</v>
      </c>
      <c r="S49" s="22">
        <v>0</v>
      </c>
      <c r="T49" s="28"/>
      <c r="U49" s="25"/>
      <c r="V49" s="24"/>
      <c r="W49" s="36">
        <f t="shared" si="30"/>
        <v>34</v>
      </c>
      <c r="X49" s="14"/>
    </row>
    <row r="50" spans="1:24" x14ac:dyDescent="0.2">
      <c r="A50" s="1">
        <v>48</v>
      </c>
      <c r="B50" s="10" t="s">
        <v>61</v>
      </c>
      <c r="C50" s="7">
        <f t="shared" si="36"/>
        <v>158</v>
      </c>
      <c r="D50" s="7">
        <f t="shared" si="36"/>
        <v>71</v>
      </c>
      <c r="E50" s="11">
        <f>D50/C50</f>
        <v>0.44936708860759494</v>
      </c>
      <c r="F50" s="12">
        <f>6+17+16+17+18+2</f>
        <v>76</v>
      </c>
      <c r="G50" s="12">
        <f>5+4+11+4+22+0</f>
        <v>46</v>
      </c>
      <c r="H50" s="11">
        <f>G50/F50</f>
        <v>0.60526315789473684</v>
      </c>
      <c r="I50" s="12">
        <f>5+14+12+14+14+9+7</f>
        <v>75</v>
      </c>
      <c r="J50" s="12">
        <f>0+5+2+5+5+5+1</f>
        <v>23</v>
      </c>
      <c r="K50" s="11">
        <f>J50/I50</f>
        <v>0.30666666666666664</v>
      </c>
      <c r="L50" s="12">
        <f>4+1+1+1</f>
        <v>7</v>
      </c>
      <c r="M50" s="12">
        <f>1+1</f>
        <v>2</v>
      </c>
      <c r="N50" s="11">
        <f>M50/L50</f>
        <v>0.2857142857142857</v>
      </c>
      <c r="O50" s="12">
        <v>0</v>
      </c>
      <c r="P50" s="12">
        <v>0</v>
      </c>
      <c r="Q50" s="13">
        <v>0</v>
      </c>
      <c r="R50" s="12">
        <f>2+9+5+7+11+1+0</f>
        <v>35</v>
      </c>
      <c r="S50" s="22">
        <v>0</v>
      </c>
      <c r="T50" s="28"/>
      <c r="U50" s="25"/>
      <c r="V50" s="24"/>
      <c r="W50" s="36">
        <f t="shared" si="30"/>
        <v>158</v>
      </c>
    </row>
    <row r="51" spans="1:24" x14ac:dyDescent="0.2">
      <c r="A51" s="1">
        <v>49</v>
      </c>
      <c r="B51" s="46" t="s">
        <v>127</v>
      </c>
      <c r="C51" s="12">
        <f>+F51+I51+L51</f>
        <v>34</v>
      </c>
      <c r="D51" s="12">
        <f>+G51+J51+M51</f>
        <v>64</v>
      </c>
      <c r="E51" s="11">
        <f>D51/C51</f>
        <v>1.8823529411764706</v>
      </c>
      <c r="F51" s="12">
        <f>0+2+13+3</f>
        <v>18</v>
      </c>
      <c r="G51" s="12">
        <f>0+9+20+5</f>
        <v>34</v>
      </c>
      <c r="H51" s="11">
        <v>0</v>
      </c>
      <c r="I51" s="12">
        <f>1+6+5+2</f>
        <v>14</v>
      </c>
      <c r="J51" s="12">
        <f>1+10+12+7</f>
        <v>30</v>
      </c>
      <c r="K51" s="11">
        <f>J51/I51</f>
        <v>2.1428571428571428</v>
      </c>
      <c r="L51" s="12">
        <f>0+1+1</f>
        <v>2</v>
      </c>
      <c r="M51" s="12">
        <v>0</v>
      </c>
      <c r="N51" s="11">
        <v>0</v>
      </c>
      <c r="O51" s="12">
        <f>1</f>
        <v>1</v>
      </c>
      <c r="P51" s="12">
        <f>0</f>
        <v>0</v>
      </c>
      <c r="Q51" s="13">
        <v>0</v>
      </c>
      <c r="R51" s="12">
        <f>0+1+1</f>
        <v>2</v>
      </c>
      <c r="S51" s="22">
        <v>0</v>
      </c>
      <c r="T51" s="28" t="s">
        <v>149</v>
      </c>
      <c r="U51" s="25"/>
      <c r="V51" s="24"/>
      <c r="W51" s="36">
        <f t="shared" si="30"/>
        <v>34</v>
      </c>
    </row>
    <row r="52" spans="1:24" x14ac:dyDescent="0.2">
      <c r="A52" s="1">
        <v>50</v>
      </c>
      <c r="B52" s="10" t="s">
        <v>62</v>
      </c>
      <c r="C52" s="7">
        <f t="shared" ref="C52" si="37">+F52+I52+L52</f>
        <v>55</v>
      </c>
      <c r="D52" s="7">
        <f t="shared" ref="D52:D61" si="38">+G52+J52+M52</f>
        <v>60</v>
      </c>
      <c r="E52" s="11">
        <f t="shared" ref="E52" si="39">D52/C52</f>
        <v>1.0909090909090908</v>
      </c>
      <c r="F52" s="12">
        <v>28</v>
      </c>
      <c r="G52" s="12">
        <v>33</v>
      </c>
      <c r="H52" s="11">
        <f t="shared" si="34"/>
        <v>1.1785714285714286</v>
      </c>
      <c r="I52" s="12">
        <v>23</v>
      </c>
      <c r="J52" s="12">
        <v>20</v>
      </c>
      <c r="K52" s="11">
        <f t="shared" ref="K52" si="40">J52/I52</f>
        <v>0.86956521739130432</v>
      </c>
      <c r="L52" s="12">
        <v>4</v>
      </c>
      <c r="M52" s="12">
        <v>7</v>
      </c>
      <c r="N52" s="11">
        <f t="shared" ref="N52" si="41">M52/L52</f>
        <v>1.75</v>
      </c>
      <c r="O52" s="12">
        <v>0</v>
      </c>
      <c r="P52" s="12">
        <v>0</v>
      </c>
      <c r="Q52" s="13">
        <v>0</v>
      </c>
      <c r="R52" s="12">
        <v>2</v>
      </c>
      <c r="S52" s="22">
        <v>0</v>
      </c>
      <c r="T52" s="28"/>
      <c r="U52" s="25"/>
      <c r="V52" s="24"/>
      <c r="W52" s="36">
        <f t="shared" si="30"/>
        <v>55</v>
      </c>
      <c r="X52" s="1"/>
    </row>
    <row r="53" spans="1:24" x14ac:dyDescent="0.2">
      <c r="A53" s="1">
        <v>51</v>
      </c>
      <c r="B53" s="10" t="s">
        <v>64</v>
      </c>
      <c r="C53" s="7">
        <f t="shared" ref="C53:D58" si="42">+F53+I53+L53</f>
        <v>48</v>
      </c>
      <c r="D53" s="7">
        <f t="shared" si="42"/>
        <v>50</v>
      </c>
      <c r="E53" s="11">
        <f t="shared" ref="E53:E58" si="43">D53/C53</f>
        <v>1.0416666666666667</v>
      </c>
      <c r="F53" s="12">
        <v>33</v>
      </c>
      <c r="G53" s="12">
        <v>41</v>
      </c>
      <c r="H53" s="11">
        <f>G53/F53</f>
        <v>1.2424242424242424</v>
      </c>
      <c r="I53" s="12">
        <v>13</v>
      </c>
      <c r="J53" s="12">
        <v>8</v>
      </c>
      <c r="K53" s="11">
        <f t="shared" ref="K53:K58" si="44">J53/I53</f>
        <v>0.61538461538461542</v>
      </c>
      <c r="L53" s="12">
        <v>2</v>
      </c>
      <c r="M53" s="12">
        <v>1</v>
      </c>
      <c r="N53" s="11">
        <f>M53/L53</f>
        <v>0.5</v>
      </c>
      <c r="O53" s="12">
        <v>0</v>
      </c>
      <c r="P53" s="12">
        <v>0</v>
      </c>
      <c r="Q53" s="13">
        <v>0</v>
      </c>
      <c r="R53" s="12">
        <v>1</v>
      </c>
      <c r="S53" s="22">
        <v>0</v>
      </c>
      <c r="T53" s="28"/>
      <c r="U53" s="25"/>
      <c r="V53" s="24"/>
      <c r="W53" s="36">
        <f t="shared" si="30"/>
        <v>48</v>
      </c>
      <c r="X53" s="1"/>
    </row>
    <row r="54" spans="1:24" x14ac:dyDescent="0.2">
      <c r="A54" s="1">
        <v>52</v>
      </c>
      <c r="B54" s="10" t="s">
        <v>65</v>
      </c>
      <c r="C54" s="7">
        <f t="shared" si="42"/>
        <v>52</v>
      </c>
      <c r="D54" s="7">
        <f t="shared" si="42"/>
        <v>48</v>
      </c>
      <c r="E54" s="11">
        <f t="shared" si="43"/>
        <v>0.92307692307692313</v>
      </c>
      <c r="F54" s="12">
        <f>16+10</f>
        <v>26</v>
      </c>
      <c r="G54" s="12">
        <f>14+12</f>
        <v>26</v>
      </c>
      <c r="H54" s="11">
        <f>G54/F54</f>
        <v>1</v>
      </c>
      <c r="I54" s="12">
        <f>11+12</f>
        <v>23</v>
      </c>
      <c r="J54" s="12">
        <f>11+10</f>
        <v>21</v>
      </c>
      <c r="K54" s="11">
        <f t="shared" si="44"/>
        <v>0.91304347826086951</v>
      </c>
      <c r="L54" s="12">
        <f>2+1</f>
        <v>3</v>
      </c>
      <c r="M54" s="12">
        <f>0+1</f>
        <v>1</v>
      </c>
      <c r="N54" s="11">
        <f>M54/L54</f>
        <v>0.33333333333333331</v>
      </c>
      <c r="O54" s="12">
        <v>1</v>
      </c>
      <c r="P54" s="12">
        <v>1</v>
      </c>
      <c r="Q54" s="13">
        <f>P54/O54</f>
        <v>1</v>
      </c>
      <c r="R54" s="12">
        <f>9+10</f>
        <v>19</v>
      </c>
      <c r="S54" s="22">
        <v>0</v>
      </c>
      <c r="T54" s="28"/>
      <c r="U54" s="25"/>
      <c r="V54" s="24"/>
      <c r="W54" s="36">
        <f t="shared" si="30"/>
        <v>52</v>
      </c>
      <c r="X54" s="1"/>
    </row>
    <row r="55" spans="1:24" x14ac:dyDescent="0.2">
      <c r="A55" s="1">
        <v>53</v>
      </c>
      <c r="B55" s="46" t="s">
        <v>80</v>
      </c>
      <c r="C55" s="12">
        <f t="shared" si="42"/>
        <v>33</v>
      </c>
      <c r="D55" s="12">
        <f t="shared" si="42"/>
        <v>43</v>
      </c>
      <c r="E55" s="11">
        <f t="shared" si="43"/>
        <v>1.303030303030303</v>
      </c>
      <c r="F55" s="12">
        <f>1+1+1+5+1+12</f>
        <v>21</v>
      </c>
      <c r="G55" s="12">
        <f>0+4+4+14</f>
        <v>22</v>
      </c>
      <c r="H55" s="11">
        <v>0</v>
      </c>
      <c r="I55" s="12">
        <f>1+5+2+2+2</f>
        <v>12</v>
      </c>
      <c r="J55" s="12">
        <f>0+10+2+7+2</f>
        <v>21</v>
      </c>
      <c r="K55" s="11">
        <f t="shared" si="44"/>
        <v>1.75</v>
      </c>
      <c r="L55" s="12">
        <v>0</v>
      </c>
      <c r="M55" s="12">
        <v>0</v>
      </c>
      <c r="N55" s="11">
        <v>0</v>
      </c>
      <c r="O55" s="12">
        <v>3</v>
      </c>
      <c r="P55" s="12">
        <v>3</v>
      </c>
      <c r="Q55" s="13">
        <f>P55/O55</f>
        <v>1</v>
      </c>
      <c r="R55" s="12">
        <f>0+3+2+2</f>
        <v>7</v>
      </c>
      <c r="S55" s="22">
        <v>0</v>
      </c>
      <c r="T55" s="28" t="s">
        <v>150</v>
      </c>
      <c r="U55" s="25"/>
      <c r="V55" s="24"/>
      <c r="W55" s="36">
        <f t="shared" si="30"/>
        <v>33</v>
      </c>
      <c r="X55" s="1"/>
    </row>
    <row r="56" spans="1:24" x14ac:dyDescent="0.2">
      <c r="A56" s="1">
        <v>54</v>
      </c>
      <c r="B56" s="46" t="s">
        <v>67</v>
      </c>
      <c r="C56" s="7">
        <f t="shared" si="42"/>
        <v>105</v>
      </c>
      <c r="D56" s="7">
        <f t="shared" si="42"/>
        <v>40</v>
      </c>
      <c r="E56" s="11">
        <f t="shared" si="43"/>
        <v>0.38095238095238093</v>
      </c>
      <c r="F56" s="12">
        <f>0+12+17+15+9+3+1+7</f>
        <v>64</v>
      </c>
      <c r="G56" s="12">
        <f>1+7+6+1+2+5</f>
        <v>22</v>
      </c>
      <c r="H56" s="11">
        <f t="shared" ref="H56:H61" si="45">G56/F56</f>
        <v>0.34375</v>
      </c>
      <c r="I56" s="12">
        <f>1+8+12+10+2+2+2+1</f>
        <v>38</v>
      </c>
      <c r="J56" s="12">
        <f>4+3+3+4+2+2</f>
        <v>18</v>
      </c>
      <c r="K56" s="11">
        <f t="shared" si="44"/>
        <v>0.47368421052631576</v>
      </c>
      <c r="L56" s="12">
        <f>3</f>
        <v>3</v>
      </c>
      <c r="M56" s="12">
        <v>0</v>
      </c>
      <c r="N56" s="11">
        <v>0</v>
      </c>
      <c r="O56" s="12">
        <v>2</v>
      </c>
      <c r="P56" s="12">
        <v>1</v>
      </c>
      <c r="Q56" s="13">
        <f>P56/O56</f>
        <v>0.5</v>
      </c>
      <c r="R56" s="12">
        <v>1</v>
      </c>
      <c r="S56" s="22">
        <v>0</v>
      </c>
      <c r="T56" s="28"/>
      <c r="U56" s="25"/>
      <c r="V56" s="24"/>
      <c r="W56" s="36">
        <f t="shared" si="30"/>
        <v>105</v>
      </c>
      <c r="X56" s="1"/>
    </row>
    <row r="57" spans="1:24" x14ac:dyDescent="0.2">
      <c r="A57" s="1">
        <v>55</v>
      </c>
      <c r="B57" s="10" t="s">
        <v>66</v>
      </c>
      <c r="C57" s="7">
        <f t="shared" si="42"/>
        <v>35</v>
      </c>
      <c r="D57" s="7">
        <f t="shared" si="42"/>
        <v>39</v>
      </c>
      <c r="E57" s="11">
        <f t="shared" si="43"/>
        <v>1.1142857142857143</v>
      </c>
      <c r="F57" s="12">
        <v>17</v>
      </c>
      <c r="G57" s="12">
        <v>13</v>
      </c>
      <c r="H57" s="11">
        <f t="shared" si="45"/>
        <v>0.76470588235294112</v>
      </c>
      <c r="I57" s="12">
        <v>12</v>
      </c>
      <c r="J57" s="12">
        <v>16</v>
      </c>
      <c r="K57" s="11">
        <f t="shared" si="44"/>
        <v>1.3333333333333333</v>
      </c>
      <c r="L57" s="12">
        <v>6</v>
      </c>
      <c r="M57" s="12">
        <v>10</v>
      </c>
      <c r="N57" s="11">
        <f>M57/L57</f>
        <v>1.6666666666666667</v>
      </c>
      <c r="O57" s="12">
        <v>0</v>
      </c>
      <c r="P57" s="12">
        <v>0</v>
      </c>
      <c r="Q57" s="13">
        <v>0</v>
      </c>
      <c r="R57" s="12">
        <v>1</v>
      </c>
      <c r="S57" s="22">
        <v>0</v>
      </c>
      <c r="T57" s="28"/>
      <c r="U57" s="25"/>
      <c r="V57" s="24"/>
      <c r="W57" s="36">
        <f t="shared" si="30"/>
        <v>35</v>
      </c>
      <c r="X57" s="1"/>
    </row>
    <row r="58" spans="1:24" x14ac:dyDescent="0.2">
      <c r="A58" s="1">
        <v>56</v>
      </c>
      <c r="B58" s="46" t="s">
        <v>75</v>
      </c>
      <c r="C58" s="12">
        <f t="shared" si="42"/>
        <v>25</v>
      </c>
      <c r="D58" s="12">
        <f t="shared" si="42"/>
        <v>37</v>
      </c>
      <c r="E58" s="11">
        <f t="shared" si="43"/>
        <v>1.48</v>
      </c>
      <c r="F58" s="12">
        <f>0+1+1+1+2+3+9</f>
        <v>17</v>
      </c>
      <c r="G58" s="12">
        <f>0+3+0+5+3+4+12</f>
        <v>27</v>
      </c>
      <c r="H58" s="11">
        <f t="shared" si="45"/>
        <v>1.588235294117647</v>
      </c>
      <c r="I58" s="12">
        <f>1+2+2+1</f>
        <v>6</v>
      </c>
      <c r="J58" s="12">
        <f>1+4+2+2</f>
        <v>9</v>
      </c>
      <c r="K58" s="11">
        <f t="shared" si="44"/>
        <v>1.5</v>
      </c>
      <c r="L58" s="12">
        <f>1+1</f>
        <v>2</v>
      </c>
      <c r="M58" s="12">
        <f>1</f>
        <v>1</v>
      </c>
      <c r="N58" s="11">
        <f>M58/L58</f>
        <v>0.5</v>
      </c>
      <c r="O58" s="12">
        <v>0</v>
      </c>
      <c r="P58" s="12">
        <v>0</v>
      </c>
      <c r="Q58" s="13">
        <v>0</v>
      </c>
      <c r="R58" s="12">
        <f>1+1+2</f>
        <v>4</v>
      </c>
      <c r="S58" s="22">
        <v>0</v>
      </c>
      <c r="T58" s="28" t="s">
        <v>151</v>
      </c>
      <c r="U58" s="25"/>
      <c r="V58" s="24"/>
      <c r="W58" s="36">
        <f t="shared" si="30"/>
        <v>25</v>
      </c>
      <c r="X58" s="1"/>
    </row>
    <row r="59" spans="1:24" x14ac:dyDescent="0.2">
      <c r="A59" s="1">
        <v>57</v>
      </c>
      <c r="B59" s="10" t="s">
        <v>138</v>
      </c>
      <c r="C59" s="12">
        <f t="shared" ref="C59:C61" si="46">+F59+I59+L59</f>
        <v>19</v>
      </c>
      <c r="D59" s="12">
        <f t="shared" si="38"/>
        <v>33</v>
      </c>
      <c r="E59" s="11">
        <f t="shared" ref="E59:E61" si="47">D59/C59</f>
        <v>1.736842105263158</v>
      </c>
      <c r="F59" s="12">
        <f>1+14</f>
        <v>15</v>
      </c>
      <c r="G59" s="12">
        <f>2+22</f>
        <v>24</v>
      </c>
      <c r="H59" s="11">
        <f t="shared" si="45"/>
        <v>1.6</v>
      </c>
      <c r="I59" s="12">
        <f>3</f>
        <v>3</v>
      </c>
      <c r="J59" s="12">
        <f>8</f>
        <v>8</v>
      </c>
      <c r="K59" s="11">
        <f t="shared" ref="K59:K61" si="48">J59/I59</f>
        <v>2.6666666666666665</v>
      </c>
      <c r="L59" s="12">
        <v>1</v>
      </c>
      <c r="M59" s="12">
        <v>1</v>
      </c>
      <c r="N59" s="11">
        <f>M59/L59</f>
        <v>1</v>
      </c>
      <c r="O59" s="12">
        <v>0</v>
      </c>
      <c r="P59" s="12">
        <v>0</v>
      </c>
      <c r="Q59" s="13">
        <v>0</v>
      </c>
      <c r="R59" s="12">
        <v>0</v>
      </c>
      <c r="S59" s="22">
        <v>0</v>
      </c>
      <c r="T59" s="28"/>
      <c r="U59" s="25"/>
      <c r="V59" s="24"/>
      <c r="W59" s="36">
        <f t="shared" si="30"/>
        <v>19</v>
      </c>
      <c r="X59" s="1"/>
    </row>
    <row r="60" spans="1:24" x14ac:dyDescent="0.2">
      <c r="A60" s="1">
        <v>58</v>
      </c>
      <c r="B60" s="10" t="s">
        <v>68</v>
      </c>
      <c r="C60" s="7">
        <f t="shared" si="46"/>
        <v>40</v>
      </c>
      <c r="D60" s="7">
        <f t="shared" si="38"/>
        <v>27</v>
      </c>
      <c r="E60" s="11">
        <f t="shared" si="47"/>
        <v>0.67500000000000004</v>
      </c>
      <c r="F60" s="12">
        <f>17+3</f>
        <v>20</v>
      </c>
      <c r="G60" s="12">
        <f>15+3</f>
        <v>18</v>
      </c>
      <c r="H60" s="11">
        <f t="shared" si="45"/>
        <v>0.9</v>
      </c>
      <c r="I60" s="12">
        <f>12+6+1</f>
        <v>19</v>
      </c>
      <c r="J60" s="12">
        <f>5+1+0</f>
        <v>6</v>
      </c>
      <c r="K60" s="11">
        <f t="shared" si="48"/>
        <v>0.31578947368421051</v>
      </c>
      <c r="L60" s="12">
        <v>1</v>
      </c>
      <c r="M60" s="12">
        <v>3</v>
      </c>
      <c r="N60" s="11">
        <f>M60/L60</f>
        <v>3</v>
      </c>
      <c r="O60" s="12">
        <v>1</v>
      </c>
      <c r="P60" s="12">
        <v>0</v>
      </c>
      <c r="Q60" s="13">
        <f>P60/O60</f>
        <v>0</v>
      </c>
      <c r="R60" s="12">
        <f>5+1</f>
        <v>6</v>
      </c>
      <c r="S60" s="22">
        <v>0</v>
      </c>
      <c r="T60" s="28"/>
      <c r="U60" s="25"/>
      <c r="V60" s="24"/>
      <c r="W60" s="36">
        <f t="shared" si="30"/>
        <v>40</v>
      </c>
      <c r="X60" s="1"/>
    </row>
    <row r="61" spans="1:24" x14ac:dyDescent="0.2">
      <c r="A61" s="1">
        <v>59</v>
      </c>
      <c r="B61" s="10" t="s">
        <v>69</v>
      </c>
      <c r="C61" s="7">
        <f t="shared" si="46"/>
        <v>18</v>
      </c>
      <c r="D61" s="7">
        <f t="shared" si="38"/>
        <v>26</v>
      </c>
      <c r="E61" s="11">
        <f t="shared" si="47"/>
        <v>1.4444444444444444</v>
      </c>
      <c r="F61" s="12">
        <v>9</v>
      </c>
      <c r="G61" s="12">
        <v>14</v>
      </c>
      <c r="H61" s="11">
        <f t="shared" si="45"/>
        <v>1.5555555555555556</v>
      </c>
      <c r="I61" s="12">
        <v>7</v>
      </c>
      <c r="J61" s="12">
        <v>10</v>
      </c>
      <c r="K61" s="11">
        <f t="shared" si="48"/>
        <v>1.4285714285714286</v>
      </c>
      <c r="L61" s="12">
        <v>2</v>
      </c>
      <c r="M61" s="12">
        <v>2</v>
      </c>
      <c r="N61" s="11">
        <f>M61/L61</f>
        <v>1</v>
      </c>
      <c r="O61" s="12">
        <v>0</v>
      </c>
      <c r="P61" s="12">
        <v>0</v>
      </c>
      <c r="Q61" s="13">
        <v>0</v>
      </c>
      <c r="R61" s="12">
        <v>0</v>
      </c>
      <c r="S61" s="22">
        <v>0</v>
      </c>
      <c r="T61" s="28"/>
      <c r="U61" s="25"/>
      <c r="V61" s="24"/>
      <c r="W61" s="36">
        <f t="shared" si="30"/>
        <v>18</v>
      </c>
      <c r="X61" s="1"/>
    </row>
    <row r="62" spans="1:24" x14ac:dyDescent="0.2">
      <c r="A62" s="1">
        <v>60</v>
      </c>
      <c r="B62" s="10" t="s">
        <v>70</v>
      </c>
      <c r="C62" s="12">
        <f t="shared" ref="C62" si="49">+F62+I62+L62</f>
        <v>38</v>
      </c>
      <c r="D62" s="12">
        <f t="shared" ref="D62" si="50">+G62+J62+M62</f>
        <v>25</v>
      </c>
      <c r="E62" s="11">
        <f t="shared" ref="E62" si="51">D62/C62</f>
        <v>0.65789473684210531</v>
      </c>
      <c r="F62" s="12">
        <f>0+2+19</f>
        <v>21</v>
      </c>
      <c r="G62" s="12">
        <f>0+1+11</f>
        <v>12</v>
      </c>
      <c r="H62" s="11">
        <v>0</v>
      </c>
      <c r="I62" s="12">
        <f>2+8+6+1</f>
        <v>17</v>
      </c>
      <c r="J62" s="12">
        <f>3+5+4+1</f>
        <v>13</v>
      </c>
      <c r="K62" s="11">
        <f>J62/I62</f>
        <v>0.76470588235294112</v>
      </c>
      <c r="L62" s="12">
        <v>0</v>
      </c>
      <c r="M62" s="12">
        <v>0</v>
      </c>
      <c r="N62" s="11">
        <v>0</v>
      </c>
      <c r="O62" s="12">
        <v>0</v>
      </c>
      <c r="P62" s="12">
        <v>0</v>
      </c>
      <c r="Q62" s="13">
        <v>0</v>
      </c>
      <c r="R62" s="12">
        <f>0+2+4+1</f>
        <v>7</v>
      </c>
      <c r="S62" s="22">
        <v>0</v>
      </c>
      <c r="T62" s="28"/>
      <c r="U62" s="25"/>
      <c r="V62" s="24"/>
      <c r="W62" s="36">
        <f t="shared" si="30"/>
        <v>38</v>
      </c>
      <c r="X62" s="1"/>
    </row>
    <row r="63" spans="1:24" x14ac:dyDescent="0.2">
      <c r="A63" s="1">
        <v>61</v>
      </c>
      <c r="B63" s="46" t="s">
        <v>143</v>
      </c>
      <c r="C63" s="12">
        <f t="shared" ref="C63:C94" si="52">+F63+I63+L63</f>
        <v>15</v>
      </c>
      <c r="D63" s="12">
        <f t="shared" ref="D63:D94" si="53">+G63+J63+M63</f>
        <v>24</v>
      </c>
      <c r="E63" s="11">
        <f t="shared" ref="E63:E99" si="54">D63/C63</f>
        <v>1.6</v>
      </c>
      <c r="F63" s="12">
        <f>3+3</f>
        <v>6</v>
      </c>
      <c r="G63" s="12">
        <v>2</v>
      </c>
      <c r="H63" s="11">
        <f>G63/F63</f>
        <v>0.33333333333333331</v>
      </c>
      <c r="I63" s="12">
        <f>1+7</f>
        <v>8</v>
      </c>
      <c r="J63" s="12">
        <f>0+22</f>
        <v>22</v>
      </c>
      <c r="K63" s="11">
        <f>J63/I63</f>
        <v>2.75</v>
      </c>
      <c r="L63" s="12">
        <f>0+1</f>
        <v>1</v>
      </c>
      <c r="M63" s="12">
        <f>0+0</f>
        <v>0</v>
      </c>
      <c r="N63" s="11">
        <v>0</v>
      </c>
      <c r="O63" s="12">
        <v>2</v>
      </c>
      <c r="P63" s="12">
        <v>1</v>
      </c>
      <c r="Q63" s="13">
        <f>P63/O63</f>
        <v>0.5</v>
      </c>
      <c r="R63" s="12">
        <v>4</v>
      </c>
      <c r="S63" s="22">
        <v>0</v>
      </c>
      <c r="T63" s="28" t="s">
        <v>159</v>
      </c>
      <c r="U63" s="25"/>
      <c r="V63" s="24">
        <v>1</v>
      </c>
      <c r="W63" s="36">
        <f t="shared" si="30"/>
        <v>16</v>
      </c>
      <c r="X63" s="1"/>
    </row>
    <row r="64" spans="1:24" x14ac:dyDescent="0.2">
      <c r="A64" s="1">
        <v>62</v>
      </c>
      <c r="B64" s="10" t="s">
        <v>71</v>
      </c>
      <c r="C64" s="7">
        <f t="shared" si="52"/>
        <v>19</v>
      </c>
      <c r="D64" s="7">
        <f t="shared" si="53"/>
        <v>23</v>
      </c>
      <c r="E64" s="11">
        <f t="shared" si="54"/>
        <v>1.2105263157894737</v>
      </c>
      <c r="F64" s="12">
        <f>1+9+3</f>
        <v>13</v>
      </c>
      <c r="G64" s="12">
        <f>0+12+1</f>
        <v>13</v>
      </c>
      <c r="H64" s="11">
        <f>G64/F64</f>
        <v>1</v>
      </c>
      <c r="I64" s="12">
        <f>2+3+1</f>
        <v>6</v>
      </c>
      <c r="J64" s="12">
        <f>1+6+3</f>
        <v>10</v>
      </c>
      <c r="K64" s="11">
        <f>J64/I64</f>
        <v>1.6666666666666667</v>
      </c>
      <c r="L64" s="12">
        <v>0</v>
      </c>
      <c r="M64" s="12">
        <v>0</v>
      </c>
      <c r="N64" s="11">
        <v>0</v>
      </c>
      <c r="O64" s="12">
        <v>0</v>
      </c>
      <c r="P64" s="12">
        <v>0</v>
      </c>
      <c r="Q64" s="13">
        <v>0</v>
      </c>
      <c r="R64" s="12">
        <f>1+1</f>
        <v>2</v>
      </c>
      <c r="S64" s="22">
        <v>0</v>
      </c>
      <c r="T64" s="28"/>
      <c r="U64" s="25"/>
      <c r="V64" s="24"/>
      <c r="W64" s="36">
        <f t="shared" si="30"/>
        <v>19</v>
      </c>
      <c r="X64" s="1"/>
    </row>
    <row r="65" spans="1:24" x14ac:dyDescent="0.2">
      <c r="A65" s="1">
        <v>63</v>
      </c>
      <c r="B65" s="10" t="s">
        <v>72</v>
      </c>
      <c r="C65" s="7">
        <f t="shared" si="52"/>
        <v>55</v>
      </c>
      <c r="D65" s="7">
        <f t="shared" si="53"/>
        <v>23</v>
      </c>
      <c r="E65" s="11">
        <f t="shared" si="54"/>
        <v>0.41818181818181815</v>
      </c>
      <c r="F65" s="12">
        <v>22</v>
      </c>
      <c r="G65" s="12">
        <v>9</v>
      </c>
      <c r="H65" s="11">
        <f>G65/F65</f>
        <v>0.40909090909090912</v>
      </c>
      <c r="I65" s="12">
        <v>26</v>
      </c>
      <c r="J65" s="12">
        <v>11</v>
      </c>
      <c r="K65" s="11">
        <f>J65/I65</f>
        <v>0.42307692307692307</v>
      </c>
      <c r="L65" s="12">
        <v>7</v>
      </c>
      <c r="M65" s="12">
        <v>3</v>
      </c>
      <c r="N65" s="11">
        <f>M65/L65</f>
        <v>0.42857142857142855</v>
      </c>
      <c r="O65" s="12">
        <v>1</v>
      </c>
      <c r="P65" s="12">
        <v>0</v>
      </c>
      <c r="Q65" s="13">
        <f>P65/O65</f>
        <v>0</v>
      </c>
      <c r="R65" s="12">
        <v>18</v>
      </c>
      <c r="S65" s="22">
        <v>0</v>
      </c>
      <c r="T65" s="28"/>
      <c r="U65" s="25"/>
      <c r="V65" s="24"/>
      <c r="W65" s="36">
        <f t="shared" si="30"/>
        <v>55</v>
      </c>
      <c r="X65" s="1"/>
    </row>
    <row r="66" spans="1:24" x14ac:dyDescent="0.2">
      <c r="A66" s="1">
        <v>64</v>
      </c>
      <c r="B66" s="46" t="s">
        <v>134</v>
      </c>
      <c r="C66" s="12">
        <f t="shared" si="52"/>
        <v>10</v>
      </c>
      <c r="D66" s="12">
        <f t="shared" si="53"/>
        <v>21</v>
      </c>
      <c r="E66" s="11">
        <f t="shared" si="54"/>
        <v>2.1</v>
      </c>
      <c r="F66" s="12">
        <f>4+1</f>
        <v>5</v>
      </c>
      <c r="G66" s="12">
        <f>5+0</f>
        <v>5</v>
      </c>
      <c r="H66" s="11">
        <f>G66/F66</f>
        <v>1</v>
      </c>
      <c r="I66" s="12">
        <f>1+4</f>
        <v>5</v>
      </c>
      <c r="J66" s="12">
        <f>2+14</f>
        <v>16</v>
      </c>
      <c r="K66" s="11">
        <f>J66/I66</f>
        <v>3.2</v>
      </c>
      <c r="L66" s="12">
        <f>0</f>
        <v>0</v>
      </c>
      <c r="M66" s="12">
        <v>0</v>
      </c>
      <c r="N66" s="11">
        <v>0</v>
      </c>
      <c r="O66" s="12">
        <v>1</v>
      </c>
      <c r="P66" s="12">
        <v>0</v>
      </c>
      <c r="Q66" s="13">
        <f>P66/O66</f>
        <v>0</v>
      </c>
      <c r="R66" s="12">
        <f>1</f>
        <v>1</v>
      </c>
      <c r="S66" s="22">
        <f>0</f>
        <v>0</v>
      </c>
      <c r="T66" s="28" t="s">
        <v>160</v>
      </c>
      <c r="U66" s="25"/>
      <c r="V66" s="24">
        <v>1</v>
      </c>
      <c r="W66" s="36">
        <f t="shared" si="30"/>
        <v>11</v>
      </c>
    </row>
    <row r="67" spans="1:24" x14ac:dyDescent="0.2">
      <c r="A67" s="1">
        <v>65</v>
      </c>
      <c r="B67" s="46" t="s">
        <v>73</v>
      </c>
      <c r="C67" s="7">
        <f t="shared" si="52"/>
        <v>28</v>
      </c>
      <c r="D67" s="7">
        <f t="shared" si="53"/>
        <v>19</v>
      </c>
      <c r="E67" s="11">
        <f t="shared" si="54"/>
        <v>0.6785714285714286</v>
      </c>
      <c r="F67" s="12">
        <f>1+1+0+18+1</f>
        <v>21</v>
      </c>
      <c r="G67" s="12">
        <f>0+2+0+14</f>
        <v>16</v>
      </c>
      <c r="H67" s="11">
        <v>0</v>
      </c>
      <c r="I67" s="12">
        <f>2+1+2+1+1</f>
        <v>7</v>
      </c>
      <c r="J67" s="12">
        <f>0+2+1</f>
        <v>3</v>
      </c>
      <c r="K67" s="11">
        <v>0</v>
      </c>
      <c r="L67" s="12">
        <v>0</v>
      </c>
      <c r="M67" s="12">
        <v>0</v>
      </c>
      <c r="N67" s="11">
        <v>0</v>
      </c>
      <c r="O67" s="12">
        <v>1</v>
      </c>
      <c r="P67" s="12">
        <v>1</v>
      </c>
      <c r="Q67" s="13">
        <f>P67/O67</f>
        <v>1</v>
      </c>
      <c r="R67" s="12">
        <f>1+8</f>
        <v>9</v>
      </c>
      <c r="S67" s="22">
        <v>0</v>
      </c>
      <c r="T67" s="28"/>
      <c r="U67" s="25"/>
      <c r="V67" s="24"/>
      <c r="W67" s="36">
        <f t="shared" ref="W67:W98" si="55">C67+U67+V67</f>
        <v>28</v>
      </c>
      <c r="X67" s="1"/>
    </row>
    <row r="68" spans="1:24" x14ac:dyDescent="0.2">
      <c r="A68" s="1">
        <v>66</v>
      </c>
      <c r="B68" s="10" t="s">
        <v>74</v>
      </c>
      <c r="C68" s="12">
        <f t="shared" si="52"/>
        <v>12</v>
      </c>
      <c r="D68" s="12">
        <f t="shared" si="53"/>
        <v>17</v>
      </c>
      <c r="E68" s="11">
        <f t="shared" si="54"/>
        <v>1.4166666666666667</v>
      </c>
      <c r="F68" s="12">
        <f>0+1+5</f>
        <v>6</v>
      </c>
      <c r="G68" s="12">
        <f>0+2+6</f>
        <v>8</v>
      </c>
      <c r="H68" s="11">
        <v>0</v>
      </c>
      <c r="I68" s="12">
        <f>2+4</f>
        <v>6</v>
      </c>
      <c r="J68" s="12">
        <f>2+7</f>
        <v>9</v>
      </c>
      <c r="K68" s="11">
        <f>J68/I68</f>
        <v>1.5</v>
      </c>
      <c r="L68" s="12">
        <v>0</v>
      </c>
      <c r="M68" s="12">
        <v>0</v>
      </c>
      <c r="N68" s="11">
        <v>0</v>
      </c>
      <c r="O68" s="12">
        <v>0</v>
      </c>
      <c r="P68" s="12">
        <v>0</v>
      </c>
      <c r="Q68" s="13">
        <v>0</v>
      </c>
      <c r="R68" s="12">
        <f>0+2+1</f>
        <v>3</v>
      </c>
      <c r="S68" s="22">
        <v>0</v>
      </c>
      <c r="T68" s="28"/>
      <c r="U68" s="25"/>
      <c r="V68" s="24"/>
      <c r="W68" s="36">
        <f t="shared" si="55"/>
        <v>12</v>
      </c>
      <c r="X68" s="1"/>
    </row>
    <row r="69" spans="1:24" x14ac:dyDescent="0.2">
      <c r="A69" s="1">
        <v>67</v>
      </c>
      <c r="B69" s="10" t="s">
        <v>78</v>
      </c>
      <c r="C69" s="12">
        <f t="shared" si="52"/>
        <v>15</v>
      </c>
      <c r="D69" s="12">
        <f t="shared" si="53"/>
        <v>16</v>
      </c>
      <c r="E69" s="11">
        <f t="shared" si="54"/>
        <v>1.0666666666666667</v>
      </c>
      <c r="F69" s="12">
        <f>10+2</f>
        <v>12</v>
      </c>
      <c r="G69" s="12">
        <f>7+4</f>
        <v>11</v>
      </c>
      <c r="H69" s="11">
        <f t="shared" ref="H69:H70" si="56">G69/F69</f>
        <v>0.91666666666666663</v>
      </c>
      <c r="I69" s="12">
        <f>2+0</f>
        <v>2</v>
      </c>
      <c r="J69" s="12">
        <f>4+0</f>
        <v>4</v>
      </c>
      <c r="K69" s="11">
        <f>J69/I69</f>
        <v>2</v>
      </c>
      <c r="L69" s="12">
        <f>1+0</f>
        <v>1</v>
      </c>
      <c r="M69" s="12">
        <f>1+0</f>
        <v>1</v>
      </c>
      <c r="N69" s="11">
        <f>M69/L69</f>
        <v>1</v>
      </c>
      <c r="O69" s="12">
        <v>0</v>
      </c>
      <c r="P69" s="12">
        <v>0</v>
      </c>
      <c r="Q69" s="13">
        <v>0</v>
      </c>
      <c r="R69" s="12">
        <v>0</v>
      </c>
      <c r="S69" s="22">
        <v>0</v>
      </c>
      <c r="T69" s="28"/>
      <c r="U69" s="12">
        <v>2</v>
      </c>
      <c r="V69" s="24"/>
      <c r="W69" s="36">
        <f t="shared" si="55"/>
        <v>17</v>
      </c>
    </row>
    <row r="70" spans="1:24" x14ac:dyDescent="0.2">
      <c r="A70" s="1">
        <v>68</v>
      </c>
      <c r="B70" s="10" t="s">
        <v>76</v>
      </c>
      <c r="C70" s="7">
        <f t="shared" si="52"/>
        <v>6</v>
      </c>
      <c r="D70" s="7">
        <f t="shared" si="53"/>
        <v>13</v>
      </c>
      <c r="E70" s="11">
        <f t="shared" si="54"/>
        <v>2.1666666666666665</v>
      </c>
      <c r="F70" s="12">
        <v>1</v>
      </c>
      <c r="G70" s="12">
        <v>1</v>
      </c>
      <c r="H70" s="11">
        <f t="shared" si="56"/>
        <v>1</v>
      </c>
      <c r="I70" s="12">
        <v>4</v>
      </c>
      <c r="J70" s="12">
        <v>12</v>
      </c>
      <c r="K70" s="11">
        <f>J70/I70</f>
        <v>3</v>
      </c>
      <c r="L70" s="12">
        <v>1</v>
      </c>
      <c r="M70" s="12">
        <v>0</v>
      </c>
      <c r="N70" s="11">
        <f>M70/L70</f>
        <v>0</v>
      </c>
      <c r="O70" s="12">
        <v>2</v>
      </c>
      <c r="P70" s="12">
        <v>2</v>
      </c>
      <c r="Q70" s="13">
        <f>P70/O70</f>
        <v>1</v>
      </c>
      <c r="R70" s="12">
        <v>0</v>
      </c>
      <c r="S70" s="22">
        <v>0</v>
      </c>
      <c r="T70" s="28"/>
      <c r="U70" s="25"/>
      <c r="V70" s="24"/>
      <c r="W70" s="36">
        <f t="shared" si="55"/>
        <v>6</v>
      </c>
    </row>
    <row r="71" spans="1:24" x14ac:dyDescent="0.2">
      <c r="A71" s="1">
        <v>69</v>
      </c>
      <c r="B71" s="10" t="s">
        <v>77</v>
      </c>
      <c r="C71" s="7">
        <f t="shared" si="52"/>
        <v>198</v>
      </c>
      <c r="D71" s="7">
        <f t="shared" si="53"/>
        <v>13</v>
      </c>
      <c r="E71" s="11">
        <f t="shared" si="54"/>
        <v>6.5656565656565663E-2</v>
      </c>
      <c r="F71" s="12">
        <v>101</v>
      </c>
      <c r="G71" s="12">
        <v>5</v>
      </c>
      <c r="H71" s="11">
        <f t="shared" ref="H71:H76" si="57">G71/F71</f>
        <v>4.9504950495049507E-2</v>
      </c>
      <c r="I71" s="12">
        <v>81</v>
      </c>
      <c r="J71" s="12">
        <v>7</v>
      </c>
      <c r="K71" s="11">
        <f t="shared" ref="K71:K73" si="58">J71/I71</f>
        <v>8.6419753086419748E-2</v>
      </c>
      <c r="L71" s="12">
        <v>16</v>
      </c>
      <c r="M71" s="12">
        <v>1</v>
      </c>
      <c r="N71" s="11">
        <f>M71/L71</f>
        <v>6.25E-2</v>
      </c>
      <c r="O71" s="12">
        <v>15</v>
      </c>
      <c r="P71" s="12">
        <v>10</v>
      </c>
      <c r="Q71" s="13">
        <f>P71/O71</f>
        <v>0.66666666666666663</v>
      </c>
      <c r="R71" s="12">
        <v>9</v>
      </c>
      <c r="S71" s="22">
        <v>0</v>
      </c>
      <c r="T71" s="28"/>
      <c r="U71" s="25"/>
      <c r="V71" s="24"/>
      <c r="W71" s="36">
        <f t="shared" si="55"/>
        <v>198</v>
      </c>
    </row>
    <row r="72" spans="1:24" x14ac:dyDescent="0.2">
      <c r="A72" s="1">
        <v>70</v>
      </c>
      <c r="B72" s="10" t="s">
        <v>79</v>
      </c>
      <c r="C72" s="7">
        <f t="shared" si="52"/>
        <v>17</v>
      </c>
      <c r="D72" s="7">
        <f t="shared" si="53"/>
        <v>11</v>
      </c>
      <c r="E72" s="11">
        <f t="shared" si="54"/>
        <v>0.6470588235294118</v>
      </c>
      <c r="F72" s="12">
        <v>3</v>
      </c>
      <c r="G72" s="12">
        <v>1</v>
      </c>
      <c r="H72" s="11">
        <f t="shared" si="57"/>
        <v>0.33333333333333331</v>
      </c>
      <c r="I72" s="12">
        <v>11</v>
      </c>
      <c r="J72" s="12">
        <v>8</v>
      </c>
      <c r="K72" s="11">
        <f t="shared" si="58"/>
        <v>0.72727272727272729</v>
      </c>
      <c r="L72" s="12">
        <v>3</v>
      </c>
      <c r="M72" s="12">
        <v>2</v>
      </c>
      <c r="N72" s="11">
        <f>M72/L72</f>
        <v>0.66666666666666663</v>
      </c>
      <c r="O72" s="12">
        <v>0</v>
      </c>
      <c r="P72" s="12">
        <v>0</v>
      </c>
      <c r="Q72" s="13">
        <v>0</v>
      </c>
      <c r="R72" s="12">
        <v>0</v>
      </c>
      <c r="S72" s="22">
        <v>0</v>
      </c>
      <c r="T72" s="28"/>
      <c r="U72" s="25"/>
      <c r="V72" s="24"/>
      <c r="W72" s="36">
        <f t="shared" si="55"/>
        <v>17</v>
      </c>
      <c r="X72" s="1"/>
    </row>
    <row r="73" spans="1:24" x14ac:dyDescent="0.2">
      <c r="A73" s="1">
        <v>71</v>
      </c>
      <c r="B73" s="10" t="s">
        <v>81</v>
      </c>
      <c r="C73" s="7">
        <f t="shared" si="52"/>
        <v>29</v>
      </c>
      <c r="D73" s="7">
        <f t="shared" si="53"/>
        <v>10</v>
      </c>
      <c r="E73" s="11">
        <f t="shared" si="54"/>
        <v>0.34482758620689657</v>
      </c>
      <c r="F73" s="12">
        <v>16</v>
      </c>
      <c r="G73" s="12">
        <v>6</v>
      </c>
      <c r="H73" s="11">
        <f t="shared" si="57"/>
        <v>0.375</v>
      </c>
      <c r="I73" s="12">
        <v>11</v>
      </c>
      <c r="J73" s="12">
        <v>4</v>
      </c>
      <c r="K73" s="11">
        <f t="shared" si="58"/>
        <v>0.36363636363636365</v>
      </c>
      <c r="L73" s="12">
        <v>2</v>
      </c>
      <c r="M73" s="12">
        <v>0</v>
      </c>
      <c r="N73" s="11">
        <f>M73/L73</f>
        <v>0</v>
      </c>
      <c r="O73" s="12">
        <v>0</v>
      </c>
      <c r="P73" s="12">
        <v>0</v>
      </c>
      <c r="Q73" s="13">
        <v>0</v>
      </c>
      <c r="R73" s="12">
        <v>2</v>
      </c>
      <c r="S73" s="22">
        <v>0</v>
      </c>
      <c r="T73" s="28"/>
      <c r="U73" s="25"/>
      <c r="V73" s="24"/>
      <c r="W73" s="36">
        <f t="shared" si="55"/>
        <v>29</v>
      </c>
    </row>
    <row r="74" spans="1:24" x14ac:dyDescent="0.2">
      <c r="A74" s="1">
        <v>72</v>
      </c>
      <c r="B74" s="10" t="s">
        <v>82</v>
      </c>
      <c r="C74" s="7">
        <f t="shared" si="52"/>
        <v>11</v>
      </c>
      <c r="D74" s="7">
        <f t="shared" si="53"/>
        <v>9</v>
      </c>
      <c r="E74" s="11">
        <f t="shared" si="54"/>
        <v>0.81818181818181823</v>
      </c>
      <c r="F74" s="12">
        <f>1+8</f>
        <v>9</v>
      </c>
      <c r="G74" s="12">
        <f>1+7</f>
        <v>8</v>
      </c>
      <c r="H74" s="11">
        <f t="shared" si="57"/>
        <v>0.88888888888888884</v>
      </c>
      <c r="I74" s="12">
        <v>2</v>
      </c>
      <c r="J74" s="12">
        <v>1</v>
      </c>
      <c r="K74" s="11">
        <f>J74/I74</f>
        <v>0.5</v>
      </c>
      <c r="L74" s="12">
        <v>0</v>
      </c>
      <c r="M74" s="12">
        <v>0</v>
      </c>
      <c r="N74" s="11">
        <v>0</v>
      </c>
      <c r="O74" s="12">
        <v>1</v>
      </c>
      <c r="P74" s="12">
        <v>0</v>
      </c>
      <c r="Q74" s="13">
        <f>P74/O74</f>
        <v>0</v>
      </c>
      <c r="R74" s="12">
        <v>8</v>
      </c>
      <c r="S74" s="22">
        <f>1+2</f>
        <v>3</v>
      </c>
      <c r="T74" s="28"/>
      <c r="U74" s="25"/>
      <c r="V74" s="24"/>
      <c r="W74" s="36">
        <f t="shared" si="55"/>
        <v>11</v>
      </c>
      <c r="X74" s="1"/>
    </row>
    <row r="75" spans="1:24" x14ac:dyDescent="0.2">
      <c r="A75" s="1">
        <v>73</v>
      </c>
      <c r="B75" s="10" t="s">
        <v>83</v>
      </c>
      <c r="C75" s="12">
        <f t="shared" si="52"/>
        <v>5</v>
      </c>
      <c r="D75" s="12">
        <f t="shared" si="53"/>
        <v>8</v>
      </c>
      <c r="E75" s="11">
        <f t="shared" si="54"/>
        <v>1.6</v>
      </c>
      <c r="F75" s="12">
        <f>1+3</f>
        <v>4</v>
      </c>
      <c r="G75" s="12">
        <f>1+2</f>
        <v>3</v>
      </c>
      <c r="H75" s="11">
        <f t="shared" si="57"/>
        <v>0.75</v>
      </c>
      <c r="I75" s="12">
        <f>1</f>
        <v>1</v>
      </c>
      <c r="J75" s="12">
        <f>5</f>
        <v>5</v>
      </c>
      <c r="K75" s="11">
        <f>J75/I75</f>
        <v>5</v>
      </c>
      <c r="L75" s="12">
        <v>0</v>
      </c>
      <c r="M75" s="12">
        <v>0</v>
      </c>
      <c r="N75" s="11">
        <v>0</v>
      </c>
      <c r="O75" s="12">
        <v>0</v>
      </c>
      <c r="P75" s="12">
        <v>0</v>
      </c>
      <c r="Q75" s="13">
        <v>0</v>
      </c>
      <c r="R75" s="12">
        <f>1+1</f>
        <v>2</v>
      </c>
      <c r="S75" s="22">
        <v>0</v>
      </c>
      <c r="T75" s="28"/>
      <c r="U75" s="25"/>
      <c r="V75" s="24"/>
      <c r="W75" s="36">
        <f t="shared" si="55"/>
        <v>5</v>
      </c>
      <c r="X75" s="1"/>
    </row>
    <row r="76" spans="1:24" x14ac:dyDescent="0.2">
      <c r="A76" s="1">
        <v>74</v>
      </c>
      <c r="B76" s="46" t="s">
        <v>157</v>
      </c>
      <c r="C76" s="12">
        <f t="shared" si="52"/>
        <v>5</v>
      </c>
      <c r="D76" s="12">
        <f t="shared" si="53"/>
        <v>8</v>
      </c>
      <c r="E76" s="11">
        <f t="shared" si="54"/>
        <v>1.6</v>
      </c>
      <c r="F76" s="12">
        <v>1</v>
      </c>
      <c r="G76" s="12">
        <v>0</v>
      </c>
      <c r="H76" s="11">
        <f t="shared" si="57"/>
        <v>0</v>
      </c>
      <c r="I76" s="12">
        <v>4</v>
      </c>
      <c r="J76" s="12">
        <v>8</v>
      </c>
      <c r="K76" s="11">
        <f>J76/I76</f>
        <v>2</v>
      </c>
      <c r="L76" s="12">
        <v>0</v>
      </c>
      <c r="M76" s="12">
        <v>0</v>
      </c>
      <c r="N76" s="11">
        <v>0</v>
      </c>
      <c r="O76" s="12">
        <v>0</v>
      </c>
      <c r="P76" s="12">
        <v>0</v>
      </c>
      <c r="Q76" s="13">
        <v>0</v>
      </c>
      <c r="R76" s="12">
        <v>2</v>
      </c>
      <c r="S76" s="22">
        <v>0</v>
      </c>
      <c r="T76" s="28" t="s">
        <v>161</v>
      </c>
      <c r="U76" s="25"/>
      <c r="V76" s="24">
        <v>1</v>
      </c>
      <c r="W76" s="36">
        <f t="shared" si="55"/>
        <v>6</v>
      </c>
      <c r="X76" s="1"/>
    </row>
    <row r="77" spans="1:24" x14ac:dyDescent="0.2">
      <c r="A77" s="1">
        <v>74</v>
      </c>
      <c r="B77" s="46" t="s">
        <v>84</v>
      </c>
      <c r="C77" s="7">
        <f t="shared" si="52"/>
        <v>33</v>
      </c>
      <c r="D77" s="7">
        <f t="shared" si="53"/>
        <v>8</v>
      </c>
      <c r="E77" s="11">
        <f t="shared" si="54"/>
        <v>0.24242424242424243</v>
      </c>
      <c r="F77" s="12">
        <f>16+3+1</f>
        <v>20</v>
      </c>
      <c r="G77" s="12">
        <v>5</v>
      </c>
      <c r="H77" s="11">
        <f t="shared" ref="H77:H78" si="59">G77/F77</f>
        <v>0.25</v>
      </c>
      <c r="I77" s="12">
        <v>12</v>
      </c>
      <c r="J77" s="12">
        <v>1</v>
      </c>
      <c r="K77" s="11">
        <f t="shared" ref="K77:K78" si="60">J77/I77</f>
        <v>8.3333333333333329E-2</v>
      </c>
      <c r="L77" s="12">
        <v>1</v>
      </c>
      <c r="M77" s="12">
        <v>2</v>
      </c>
      <c r="N77" s="11">
        <f>M77/L77</f>
        <v>2</v>
      </c>
      <c r="O77" s="12">
        <v>0</v>
      </c>
      <c r="P77" s="12">
        <v>0</v>
      </c>
      <c r="Q77" s="13">
        <v>0</v>
      </c>
      <c r="R77" s="12">
        <v>1</v>
      </c>
      <c r="S77" s="22">
        <v>0</v>
      </c>
      <c r="T77" s="28"/>
      <c r="U77" s="25"/>
      <c r="V77" s="24"/>
      <c r="W77" s="36">
        <f t="shared" si="55"/>
        <v>33</v>
      </c>
      <c r="X77" s="1"/>
    </row>
    <row r="78" spans="1:24" x14ac:dyDescent="0.2">
      <c r="A78" s="1">
        <v>75</v>
      </c>
      <c r="B78" s="10" t="s">
        <v>85</v>
      </c>
      <c r="C78" s="7">
        <f t="shared" si="52"/>
        <v>4</v>
      </c>
      <c r="D78" s="7">
        <f t="shared" si="53"/>
        <v>7</v>
      </c>
      <c r="E78" s="11">
        <f t="shared" si="54"/>
        <v>1.75</v>
      </c>
      <c r="F78" s="12">
        <v>1</v>
      </c>
      <c r="G78" s="12">
        <v>0</v>
      </c>
      <c r="H78" s="11">
        <f t="shared" si="59"/>
        <v>0</v>
      </c>
      <c r="I78" s="12">
        <v>3</v>
      </c>
      <c r="J78" s="12">
        <v>7</v>
      </c>
      <c r="K78" s="11">
        <f t="shared" si="60"/>
        <v>2.3333333333333335</v>
      </c>
      <c r="L78" s="12">
        <v>0</v>
      </c>
      <c r="M78" s="12">
        <v>0</v>
      </c>
      <c r="N78" s="11">
        <v>0</v>
      </c>
      <c r="O78" s="12">
        <v>3</v>
      </c>
      <c r="P78" s="12">
        <v>3</v>
      </c>
      <c r="Q78" s="13">
        <f>P78/O78</f>
        <v>1</v>
      </c>
      <c r="R78" s="12">
        <v>0</v>
      </c>
      <c r="S78" s="22">
        <v>0</v>
      </c>
      <c r="T78" s="28"/>
      <c r="U78" s="25"/>
      <c r="V78" s="24"/>
      <c r="W78" s="36">
        <f t="shared" si="55"/>
        <v>4</v>
      </c>
      <c r="X78" s="1"/>
    </row>
    <row r="79" spans="1:24" x14ac:dyDescent="0.2">
      <c r="A79" s="1">
        <v>76</v>
      </c>
      <c r="B79" s="10" t="s">
        <v>87</v>
      </c>
      <c r="C79" s="7">
        <f t="shared" si="52"/>
        <v>12</v>
      </c>
      <c r="D79" s="7">
        <f t="shared" si="53"/>
        <v>7</v>
      </c>
      <c r="E79" s="11">
        <f t="shared" si="54"/>
        <v>0.58333333333333337</v>
      </c>
      <c r="F79" s="12">
        <v>9</v>
      </c>
      <c r="G79" s="12">
        <v>7</v>
      </c>
      <c r="H79" s="11">
        <f>G79/F79</f>
        <v>0.77777777777777779</v>
      </c>
      <c r="I79" s="12">
        <v>3</v>
      </c>
      <c r="J79" s="12">
        <v>0</v>
      </c>
      <c r="K79" s="11">
        <f>J79/I79</f>
        <v>0</v>
      </c>
      <c r="L79" s="12">
        <v>0</v>
      </c>
      <c r="M79" s="12">
        <v>0</v>
      </c>
      <c r="N79" s="11">
        <v>0</v>
      </c>
      <c r="O79" s="12">
        <v>0</v>
      </c>
      <c r="P79" s="12">
        <v>0</v>
      </c>
      <c r="Q79" s="13">
        <v>0</v>
      </c>
      <c r="R79" s="12">
        <v>0</v>
      </c>
      <c r="S79" s="22">
        <v>0</v>
      </c>
      <c r="T79" s="28"/>
      <c r="U79" s="25"/>
      <c r="V79" s="24"/>
      <c r="W79" s="36">
        <f t="shared" si="55"/>
        <v>12</v>
      </c>
      <c r="X79" s="1"/>
    </row>
    <row r="80" spans="1:24" x14ac:dyDescent="0.2">
      <c r="A80" s="1">
        <v>77</v>
      </c>
      <c r="B80" s="10" t="s">
        <v>88</v>
      </c>
      <c r="C80" s="7">
        <f t="shared" si="52"/>
        <v>15</v>
      </c>
      <c r="D80" s="7">
        <f t="shared" si="53"/>
        <v>7</v>
      </c>
      <c r="E80" s="11">
        <f t="shared" si="54"/>
        <v>0.46666666666666667</v>
      </c>
      <c r="F80" s="12">
        <v>8</v>
      </c>
      <c r="G80" s="12">
        <v>6</v>
      </c>
      <c r="H80" s="11">
        <f>G80/F80</f>
        <v>0.75</v>
      </c>
      <c r="I80" s="12">
        <v>6</v>
      </c>
      <c r="J80" s="12">
        <v>1</v>
      </c>
      <c r="K80" s="11">
        <f>J80/I80</f>
        <v>0.16666666666666666</v>
      </c>
      <c r="L80" s="12">
        <v>1</v>
      </c>
      <c r="M80" s="12">
        <v>0</v>
      </c>
      <c r="N80" s="11">
        <v>0</v>
      </c>
      <c r="O80" s="12">
        <v>0</v>
      </c>
      <c r="P80" s="12">
        <v>0</v>
      </c>
      <c r="Q80" s="13">
        <v>0</v>
      </c>
      <c r="R80" s="12">
        <v>9</v>
      </c>
      <c r="S80" s="22">
        <v>2</v>
      </c>
      <c r="T80" s="28"/>
      <c r="U80" s="25"/>
      <c r="V80" s="24"/>
      <c r="W80" s="36">
        <f t="shared" si="55"/>
        <v>15</v>
      </c>
      <c r="X80" s="1"/>
    </row>
    <row r="81" spans="1:24" x14ac:dyDescent="0.2">
      <c r="A81" s="1">
        <v>78</v>
      </c>
      <c r="B81" s="10" t="s">
        <v>129</v>
      </c>
      <c r="C81" s="12">
        <f t="shared" si="52"/>
        <v>3</v>
      </c>
      <c r="D81" s="12">
        <f t="shared" si="53"/>
        <v>6</v>
      </c>
      <c r="E81" s="11">
        <f t="shared" si="54"/>
        <v>2</v>
      </c>
      <c r="F81" s="12">
        <f>0+1+0</f>
        <v>1</v>
      </c>
      <c r="G81" s="12">
        <f>0+3+0</f>
        <v>3</v>
      </c>
      <c r="H81" s="11">
        <v>0</v>
      </c>
      <c r="I81" s="12">
        <f>1+0+1</f>
        <v>2</v>
      </c>
      <c r="J81" s="12">
        <f>2+0+1</f>
        <v>3</v>
      </c>
      <c r="K81" s="11">
        <f>J81/I81</f>
        <v>1.5</v>
      </c>
      <c r="L81" s="12">
        <v>0</v>
      </c>
      <c r="M81" s="12">
        <v>0</v>
      </c>
      <c r="N81" s="11">
        <v>0</v>
      </c>
      <c r="O81" s="12">
        <v>0</v>
      </c>
      <c r="P81" s="12">
        <v>0</v>
      </c>
      <c r="Q81" s="13">
        <v>0</v>
      </c>
      <c r="R81" s="12">
        <v>0</v>
      </c>
      <c r="S81" s="22">
        <v>0</v>
      </c>
      <c r="T81" s="28" t="s">
        <v>135</v>
      </c>
      <c r="U81" s="25"/>
      <c r="V81" s="24"/>
      <c r="W81" s="36">
        <f t="shared" si="55"/>
        <v>3</v>
      </c>
      <c r="X81" s="1"/>
    </row>
    <row r="82" spans="1:24" x14ac:dyDescent="0.2">
      <c r="A82" s="1">
        <v>79</v>
      </c>
      <c r="B82" s="10" t="s">
        <v>89</v>
      </c>
      <c r="C82" s="7">
        <f t="shared" si="52"/>
        <v>4</v>
      </c>
      <c r="D82" s="7">
        <f t="shared" si="53"/>
        <v>6</v>
      </c>
      <c r="E82" s="11">
        <f t="shared" si="54"/>
        <v>1.5</v>
      </c>
      <c r="F82" s="12">
        <v>4</v>
      </c>
      <c r="G82" s="12">
        <v>6</v>
      </c>
      <c r="H82" s="11">
        <f>G82/F82</f>
        <v>1.5</v>
      </c>
      <c r="I82" s="12">
        <v>0</v>
      </c>
      <c r="J82" s="12">
        <v>0</v>
      </c>
      <c r="K82" s="11">
        <v>0</v>
      </c>
      <c r="L82" s="12">
        <v>0</v>
      </c>
      <c r="M82" s="12">
        <v>0</v>
      </c>
      <c r="N82" s="11">
        <v>0</v>
      </c>
      <c r="O82" s="12">
        <v>0</v>
      </c>
      <c r="P82" s="12">
        <v>0</v>
      </c>
      <c r="Q82" s="13">
        <v>0</v>
      </c>
      <c r="R82" s="12">
        <v>0</v>
      </c>
      <c r="S82" s="22">
        <v>0</v>
      </c>
      <c r="T82" s="28"/>
      <c r="U82" s="25"/>
      <c r="V82" s="24"/>
      <c r="W82" s="36">
        <f t="shared" si="55"/>
        <v>4</v>
      </c>
      <c r="X82" s="1"/>
    </row>
    <row r="83" spans="1:24" x14ac:dyDescent="0.2">
      <c r="A83" s="1">
        <v>80</v>
      </c>
      <c r="B83" s="10" t="s">
        <v>90</v>
      </c>
      <c r="C83" s="12">
        <f t="shared" si="52"/>
        <v>4</v>
      </c>
      <c r="D83" s="12">
        <f t="shared" si="53"/>
        <v>5</v>
      </c>
      <c r="E83" s="11">
        <f t="shared" si="54"/>
        <v>1.25</v>
      </c>
      <c r="F83" s="12">
        <v>0</v>
      </c>
      <c r="G83" s="12">
        <v>0</v>
      </c>
      <c r="H83" s="11">
        <v>0</v>
      </c>
      <c r="I83" s="12">
        <f>1+3</f>
        <v>4</v>
      </c>
      <c r="J83" s="12">
        <f>1+4</f>
        <v>5</v>
      </c>
      <c r="K83" s="11">
        <f t="shared" ref="K83:K84" si="61">J83/I83</f>
        <v>1.25</v>
      </c>
      <c r="L83" s="12">
        <v>0</v>
      </c>
      <c r="M83" s="12">
        <v>0</v>
      </c>
      <c r="N83" s="11">
        <v>0</v>
      </c>
      <c r="O83" s="12">
        <v>0</v>
      </c>
      <c r="P83" s="12">
        <v>0</v>
      </c>
      <c r="Q83" s="13">
        <v>0</v>
      </c>
      <c r="R83" s="12">
        <v>0</v>
      </c>
      <c r="S83" s="22">
        <v>0</v>
      </c>
      <c r="T83" s="28"/>
      <c r="U83" s="25"/>
      <c r="V83" s="24"/>
      <c r="W83" s="36">
        <f t="shared" si="55"/>
        <v>4</v>
      </c>
    </row>
    <row r="84" spans="1:24" x14ac:dyDescent="0.2">
      <c r="A84" s="1">
        <v>81</v>
      </c>
      <c r="B84" s="10" t="s">
        <v>91</v>
      </c>
      <c r="C84" s="7">
        <f t="shared" si="52"/>
        <v>2</v>
      </c>
      <c r="D84" s="7">
        <f t="shared" si="53"/>
        <v>4</v>
      </c>
      <c r="E84" s="11">
        <f t="shared" si="54"/>
        <v>2</v>
      </c>
      <c r="F84" s="12">
        <v>0</v>
      </c>
      <c r="G84" s="12">
        <v>0</v>
      </c>
      <c r="H84" s="11">
        <v>0</v>
      </c>
      <c r="I84" s="12">
        <v>2</v>
      </c>
      <c r="J84" s="12">
        <v>4</v>
      </c>
      <c r="K84" s="11">
        <f t="shared" si="61"/>
        <v>2</v>
      </c>
      <c r="L84" s="12">
        <v>0</v>
      </c>
      <c r="M84" s="12">
        <v>0</v>
      </c>
      <c r="N84" s="11">
        <v>0</v>
      </c>
      <c r="O84" s="12">
        <v>0</v>
      </c>
      <c r="P84" s="12">
        <v>0</v>
      </c>
      <c r="Q84" s="13">
        <v>0</v>
      </c>
      <c r="R84" s="12">
        <v>1</v>
      </c>
      <c r="S84" s="22">
        <v>0</v>
      </c>
      <c r="T84" s="28"/>
      <c r="U84" s="25"/>
      <c r="V84" s="24"/>
      <c r="W84" s="36">
        <f t="shared" si="55"/>
        <v>2</v>
      </c>
      <c r="X84" s="1"/>
    </row>
    <row r="85" spans="1:24" x14ac:dyDescent="0.2">
      <c r="A85" s="1">
        <v>83</v>
      </c>
      <c r="B85" s="46" t="s">
        <v>92</v>
      </c>
      <c r="C85" s="7">
        <f t="shared" si="52"/>
        <v>12</v>
      </c>
      <c r="D85" s="7">
        <f t="shared" si="53"/>
        <v>4</v>
      </c>
      <c r="E85" s="11">
        <f t="shared" si="54"/>
        <v>0.33333333333333331</v>
      </c>
      <c r="F85" s="12">
        <v>0</v>
      </c>
      <c r="G85" s="12">
        <v>0</v>
      </c>
      <c r="H85" s="11">
        <v>0</v>
      </c>
      <c r="I85" s="12">
        <f>3+4+3+1</f>
        <v>11</v>
      </c>
      <c r="J85" s="12">
        <f>2+1</f>
        <v>3</v>
      </c>
      <c r="K85" s="11">
        <f>J85/I85</f>
        <v>0.27272727272727271</v>
      </c>
      <c r="L85" s="12">
        <v>1</v>
      </c>
      <c r="M85" s="12">
        <v>1</v>
      </c>
      <c r="N85" s="11">
        <f>M85/L85</f>
        <v>1</v>
      </c>
      <c r="O85" s="12">
        <v>0</v>
      </c>
      <c r="P85" s="12">
        <v>0</v>
      </c>
      <c r="Q85" s="13">
        <v>0</v>
      </c>
      <c r="R85" s="12">
        <f>1+1</f>
        <v>2</v>
      </c>
      <c r="S85" s="22">
        <v>0</v>
      </c>
      <c r="T85" s="28"/>
      <c r="U85" s="25"/>
      <c r="V85" s="24"/>
      <c r="W85" s="36">
        <f t="shared" si="55"/>
        <v>12</v>
      </c>
      <c r="X85" s="1"/>
    </row>
    <row r="86" spans="1:24" x14ac:dyDescent="0.2">
      <c r="A86" s="1">
        <v>84</v>
      </c>
      <c r="B86" s="10" t="s">
        <v>93</v>
      </c>
      <c r="C86" s="7">
        <f t="shared" si="52"/>
        <v>14</v>
      </c>
      <c r="D86" s="7">
        <f t="shared" si="53"/>
        <v>4</v>
      </c>
      <c r="E86" s="11">
        <f t="shared" si="54"/>
        <v>0.2857142857142857</v>
      </c>
      <c r="F86" s="12">
        <v>7</v>
      </c>
      <c r="G86" s="12">
        <v>2</v>
      </c>
      <c r="H86" s="11">
        <f>G86/F86</f>
        <v>0.2857142857142857</v>
      </c>
      <c r="I86" s="12">
        <v>6</v>
      </c>
      <c r="J86" s="12">
        <v>2</v>
      </c>
      <c r="K86" s="11">
        <f>J86/I86</f>
        <v>0.33333333333333331</v>
      </c>
      <c r="L86" s="12">
        <v>1</v>
      </c>
      <c r="M86" s="12">
        <v>0</v>
      </c>
      <c r="N86" s="11">
        <f>M86/L86</f>
        <v>0</v>
      </c>
      <c r="O86" s="12">
        <v>0</v>
      </c>
      <c r="P86" s="12">
        <v>0</v>
      </c>
      <c r="Q86" s="13">
        <v>0</v>
      </c>
      <c r="R86" s="12">
        <v>0</v>
      </c>
      <c r="S86" s="22">
        <v>0</v>
      </c>
      <c r="T86" s="28"/>
      <c r="U86" s="25"/>
      <c r="V86" s="24"/>
      <c r="W86" s="36">
        <f t="shared" si="55"/>
        <v>14</v>
      </c>
      <c r="X86" s="1"/>
    </row>
    <row r="87" spans="1:24" x14ac:dyDescent="0.2">
      <c r="A87" s="1">
        <v>85</v>
      </c>
      <c r="B87" s="10" t="s">
        <v>94</v>
      </c>
      <c r="C87" s="7">
        <f t="shared" si="52"/>
        <v>129</v>
      </c>
      <c r="D87" s="7">
        <f t="shared" si="53"/>
        <v>4</v>
      </c>
      <c r="E87" s="11">
        <f t="shared" si="54"/>
        <v>3.1007751937984496E-2</v>
      </c>
      <c r="F87" s="12">
        <f>1+3+22+22+21+2+2</f>
        <v>73</v>
      </c>
      <c r="G87" s="12">
        <f>0+2+0+1</f>
        <v>3</v>
      </c>
      <c r="H87" s="11">
        <f>G87/F87</f>
        <v>4.1095890410958902E-2</v>
      </c>
      <c r="I87" s="12">
        <f>2+0+10+13+31</f>
        <v>56</v>
      </c>
      <c r="J87" s="12">
        <v>1</v>
      </c>
      <c r="K87" s="11">
        <f>J87/I87</f>
        <v>1.7857142857142856E-2</v>
      </c>
      <c r="L87" s="12">
        <v>0</v>
      </c>
      <c r="M87" s="12">
        <v>0</v>
      </c>
      <c r="N87" s="11">
        <v>0</v>
      </c>
      <c r="O87" s="12">
        <v>0</v>
      </c>
      <c r="P87" s="12">
        <v>0</v>
      </c>
      <c r="Q87" s="13">
        <v>0</v>
      </c>
      <c r="R87" s="12">
        <f>0+3</f>
        <v>3</v>
      </c>
      <c r="S87" s="22">
        <v>0</v>
      </c>
      <c r="T87" s="28"/>
      <c r="U87" s="25"/>
      <c r="V87" s="24"/>
      <c r="W87" s="36">
        <f t="shared" si="55"/>
        <v>129</v>
      </c>
      <c r="X87" s="1"/>
    </row>
    <row r="88" spans="1:24" x14ac:dyDescent="0.2">
      <c r="A88" s="1">
        <v>86</v>
      </c>
      <c r="B88" s="46" t="s">
        <v>166</v>
      </c>
      <c r="C88" s="12">
        <f t="shared" si="52"/>
        <v>199</v>
      </c>
      <c r="D88" s="12">
        <f t="shared" si="53"/>
        <v>4</v>
      </c>
      <c r="E88" s="11">
        <f t="shared" si="54"/>
        <v>2.0100502512562814E-2</v>
      </c>
      <c r="F88" s="12">
        <f>1+20+20+22+19+15+1+18+19</f>
        <v>135</v>
      </c>
      <c r="G88" s="12">
        <f>0+1+0+1+0</f>
        <v>2</v>
      </c>
      <c r="H88" s="11">
        <f>G88/F88</f>
        <v>1.4814814814814815E-2</v>
      </c>
      <c r="I88" s="12">
        <f>10+10+14+7+1+6+6</f>
        <v>54</v>
      </c>
      <c r="J88" s="12">
        <f>0+1</f>
        <v>1</v>
      </c>
      <c r="K88" s="11">
        <v>0</v>
      </c>
      <c r="L88" s="12">
        <f>1+3+2+1+1+2</f>
        <v>10</v>
      </c>
      <c r="M88" s="12">
        <f>1</f>
        <v>1</v>
      </c>
      <c r="N88" s="11">
        <f>M88/L88</f>
        <v>0.1</v>
      </c>
      <c r="O88" s="12">
        <v>0</v>
      </c>
      <c r="P88" s="12">
        <v>0</v>
      </c>
      <c r="Q88" s="13">
        <v>0</v>
      </c>
      <c r="R88" s="12">
        <f>1+2</f>
        <v>3</v>
      </c>
      <c r="S88" s="22">
        <v>0</v>
      </c>
      <c r="T88" s="28" t="s">
        <v>152</v>
      </c>
      <c r="U88" s="24"/>
      <c r="V88" s="24">
        <v>1</v>
      </c>
      <c r="W88" s="36">
        <f t="shared" si="55"/>
        <v>200</v>
      </c>
      <c r="X88" s="1"/>
    </row>
    <row r="89" spans="1:24" x14ac:dyDescent="0.2">
      <c r="A89" s="1">
        <v>87</v>
      </c>
      <c r="B89" s="46" t="s">
        <v>99</v>
      </c>
      <c r="C89" s="12">
        <f t="shared" si="52"/>
        <v>483</v>
      </c>
      <c r="D89" s="12">
        <f t="shared" si="53"/>
        <v>4</v>
      </c>
      <c r="E89" s="11">
        <f t="shared" si="54"/>
        <v>8.2815734989648039E-3</v>
      </c>
      <c r="F89" s="12">
        <f>148+18+16+17+16+18+5+2</f>
        <v>240</v>
      </c>
      <c r="G89" s="12">
        <v>1</v>
      </c>
      <c r="H89" s="44">
        <f>G89/F89</f>
        <v>4.1666666666666666E-3</v>
      </c>
      <c r="I89" s="12">
        <f>136+13+14+13+14+10+10+1+1+1</f>
        <v>213</v>
      </c>
      <c r="J89" s="12">
        <f>1+1</f>
        <v>2</v>
      </c>
      <c r="K89" s="11">
        <f t="shared" ref="K89:K94" si="62">J89/I89</f>
        <v>9.3896713615023476E-3</v>
      </c>
      <c r="L89" s="12">
        <f>26+1+1+1+1</f>
        <v>30</v>
      </c>
      <c r="M89" s="12">
        <v>1</v>
      </c>
      <c r="N89" s="11">
        <f>M89/L89</f>
        <v>3.3333333333333333E-2</v>
      </c>
      <c r="O89" s="12">
        <v>0</v>
      </c>
      <c r="P89" s="12">
        <v>0</v>
      </c>
      <c r="Q89" s="13">
        <v>0</v>
      </c>
      <c r="R89" s="12">
        <f>2+1+1</f>
        <v>4</v>
      </c>
      <c r="S89" s="22">
        <v>0</v>
      </c>
      <c r="T89" s="28"/>
      <c r="U89" s="25"/>
      <c r="V89" s="24"/>
      <c r="W89" s="36">
        <f t="shared" si="55"/>
        <v>483</v>
      </c>
    </row>
    <row r="90" spans="1:24" x14ac:dyDescent="0.2">
      <c r="A90" s="1">
        <v>88</v>
      </c>
      <c r="B90" s="10" t="s">
        <v>95</v>
      </c>
      <c r="C90" s="7">
        <f t="shared" si="52"/>
        <v>2</v>
      </c>
      <c r="D90" s="7">
        <f t="shared" si="53"/>
        <v>3</v>
      </c>
      <c r="E90" s="11">
        <f t="shared" si="54"/>
        <v>1.5</v>
      </c>
      <c r="F90" s="12">
        <v>0</v>
      </c>
      <c r="G90" s="12">
        <v>0</v>
      </c>
      <c r="H90" s="11">
        <v>0</v>
      </c>
      <c r="I90" s="12">
        <v>2</v>
      </c>
      <c r="J90" s="12">
        <v>3</v>
      </c>
      <c r="K90" s="11">
        <f t="shared" si="62"/>
        <v>1.5</v>
      </c>
      <c r="L90" s="12">
        <v>0</v>
      </c>
      <c r="M90" s="12">
        <v>0</v>
      </c>
      <c r="N90" s="11">
        <v>0</v>
      </c>
      <c r="O90" s="12">
        <v>0</v>
      </c>
      <c r="P90" s="12">
        <v>0</v>
      </c>
      <c r="Q90" s="13">
        <v>0</v>
      </c>
      <c r="R90" s="12">
        <v>3</v>
      </c>
      <c r="S90" s="22">
        <v>0</v>
      </c>
      <c r="T90" s="28"/>
      <c r="U90" s="25"/>
      <c r="V90" s="24"/>
      <c r="W90" s="36">
        <f t="shared" si="55"/>
        <v>2</v>
      </c>
      <c r="X90" s="1"/>
    </row>
    <row r="91" spans="1:24" x14ac:dyDescent="0.2">
      <c r="A91" s="1">
        <v>89</v>
      </c>
      <c r="B91" s="10" t="s">
        <v>96</v>
      </c>
      <c r="C91" s="7">
        <f t="shared" si="52"/>
        <v>4</v>
      </c>
      <c r="D91" s="7">
        <f t="shared" si="53"/>
        <v>3</v>
      </c>
      <c r="E91" s="11">
        <f t="shared" si="54"/>
        <v>0.75</v>
      </c>
      <c r="F91" s="12">
        <v>0</v>
      </c>
      <c r="G91" s="12">
        <v>0</v>
      </c>
      <c r="H91" s="11">
        <v>0</v>
      </c>
      <c r="I91" s="12">
        <v>3</v>
      </c>
      <c r="J91" s="12">
        <v>0</v>
      </c>
      <c r="K91" s="11">
        <f t="shared" si="62"/>
        <v>0</v>
      </c>
      <c r="L91" s="12">
        <v>1</v>
      </c>
      <c r="M91" s="12">
        <v>3</v>
      </c>
      <c r="N91" s="11">
        <f>M91/L91</f>
        <v>3</v>
      </c>
      <c r="O91" s="12">
        <v>0</v>
      </c>
      <c r="P91" s="12">
        <v>0</v>
      </c>
      <c r="Q91" s="13">
        <v>0</v>
      </c>
      <c r="R91" s="12">
        <v>3</v>
      </c>
      <c r="S91" s="22">
        <v>0</v>
      </c>
      <c r="T91" s="28"/>
      <c r="U91" s="25"/>
      <c r="V91" s="24"/>
      <c r="W91" s="36">
        <f t="shared" si="55"/>
        <v>4</v>
      </c>
      <c r="X91" s="1"/>
    </row>
    <row r="92" spans="1:24" x14ac:dyDescent="0.2">
      <c r="A92" s="1">
        <v>90</v>
      </c>
      <c r="B92" s="10" t="s">
        <v>131</v>
      </c>
      <c r="C92" s="12">
        <f t="shared" si="52"/>
        <v>4</v>
      </c>
      <c r="D92" s="12">
        <f t="shared" si="53"/>
        <v>3</v>
      </c>
      <c r="E92" s="11">
        <f t="shared" si="54"/>
        <v>0.75</v>
      </c>
      <c r="F92" s="12">
        <f>1+1</f>
        <v>2</v>
      </c>
      <c r="G92" s="12">
        <f>0+1</f>
        <v>1</v>
      </c>
      <c r="H92" s="11">
        <f>G92/F92</f>
        <v>0.5</v>
      </c>
      <c r="I92" s="12">
        <f>1+1</f>
        <v>2</v>
      </c>
      <c r="J92" s="12">
        <f>0+2</f>
        <v>2</v>
      </c>
      <c r="K92" s="11">
        <f t="shared" si="62"/>
        <v>1</v>
      </c>
      <c r="L92" s="12">
        <v>0</v>
      </c>
      <c r="M92" s="12">
        <v>0</v>
      </c>
      <c r="N92" s="11">
        <v>0</v>
      </c>
      <c r="O92" s="12">
        <v>1</v>
      </c>
      <c r="P92" s="12">
        <v>1</v>
      </c>
      <c r="Q92" s="48">
        <f>P92/O92</f>
        <v>1</v>
      </c>
      <c r="R92" s="12">
        <v>0</v>
      </c>
      <c r="S92" s="22">
        <v>0</v>
      </c>
      <c r="T92" s="28"/>
      <c r="U92" s="25"/>
      <c r="V92" s="24"/>
      <c r="W92" s="36">
        <f t="shared" si="55"/>
        <v>4</v>
      </c>
      <c r="X92" s="1"/>
    </row>
    <row r="93" spans="1:24" x14ac:dyDescent="0.2">
      <c r="A93" s="1">
        <v>91</v>
      </c>
      <c r="B93" s="10" t="s">
        <v>97</v>
      </c>
      <c r="C93" s="12">
        <f t="shared" si="52"/>
        <v>6</v>
      </c>
      <c r="D93" s="12">
        <f t="shared" si="53"/>
        <v>3</v>
      </c>
      <c r="E93" s="11">
        <f t="shared" si="54"/>
        <v>0.5</v>
      </c>
      <c r="F93" s="12">
        <v>0</v>
      </c>
      <c r="G93" s="12">
        <v>0</v>
      </c>
      <c r="H93" s="11">
        <v>0</v>
      </c>
      <c r="I93" s="12">
        <f>5</f>
        <v>5</v>
      </c>
      <c r="J93" s="12">
        <f>3</f>
        <v>3</v>
      </c>
      <c r="K93" s="11">
        <f t="shared" si="62"/>
        <v>0.6</v>
      </c>
      <c r="L93" s="12">
        <v>1</v>
      </c>
      <c r="M93" s="12">
        <v>0</v>
      </c>
      <c r="N93" s="11">
        <v>0</v>
      </c>
      <c r="O93" s="12">
        <v>1</v>
      </c>
      <c r="P93" s="12">
        <v>0</v>
      </c>
      <c r="Q93" s="13">
        <v>0</v>
      </c>
      <c r="R93" s="12">
        <f>2</f>
        <v>2</v>
      </c>
      <c r="S93" s="22">
        <v>0</v>
      </c>
      <c r="T93" s="28"/>
      <c r="U93" s="25"/>
      <c r="V93" s="24"/>
      <c r="W93" s="36">
        <f t="shared" si="55"/>
        <v>6</v>
      </c>
    </row>
    <row r="94" spans="1:24" x14ac:dyDescent="0.2">
      <c r="A94" s="1">
        <v>92</v>
      </c>
      <c r="B94" s="10" t="s">
        <v>98</v>
      </c>
      <c r="C94" s="12">
        <f t="shared" si="52"/>
        <v>22</v>
      </c>
      <c r="D94" s="12">
        <f t="shared" si="53"/>
        <v>3</v>
      </c>
      <c r="E94" s="11">
        <f t="shared" si="54"/>
        <v>0.13636363636363635</v>
      </c>
      <c r="F94" s="12">
        <f>5</f>
        <v>5</v>
      </c>
      <c r="G94" s="12">
        <f>0</f>
        <v>0</v>
      </c>
      <c r="H94" s="11">
        <f>G94/F94</f>
        <v>0</v>
      </c>
      <c r="I94" s="12">
        <f>13</f>
        <v>13</v>
      </c>
      <c r="J94" s="12">
        <f>2</f>
        <v>2</v>
      </c>
      <c r="K94" s="11">
        <f t="shared" si="62"/>
        <v>0.15384615384615385</v>
      </c>
      <c r="L94" s="12">
        <v>4</v>
      </c>
      <c r="M94" s="12">
        <v>1</v>
      </c>
      <c r="N94" s="11">
        <f>M94/L94</f>
        <v>0.25</v>
      </c>
      <c r="O94" s="12">
        <v>0</v>
      </c>
      <c r="P94" s="12">
        <v>0</v>
      </c>
      <c r="Q94" s="13">
        <v>0</v>
      </c>
      <c r="R94" s="12">
        <f>0</f>
        <v>0</v>
      </c>
      <c r="S94" s="22">
        <v>0</v>
      </c>
      <c r="T94" s="28"/>
      <c r="U94" s="25"/>
      <c r="V94" s="24"/>
      <c r="W94" s="36">
        <f t="shared" si="55"/>
        <v>22</v>
      </c>
      <c r="X94" s="1"/>
    </row>
    <row r="95" spans="1:24" x14ac:dyDescent="0.2">
      <c r="A95" s="1">
        <v>93</v>
      </c>
      <c r="B95" s="10" t="s">
        <v>100</v>
      </c>
      <c r="C95" s="12">
        <f t="shared" ref="C95:C115" si="63">+F95+I95+L95</f>
        <v>1</v>
      </c>
      <c r="D95" s="12">
        <f t="shared" ref="D95:D115" si="64">+G95+J95+M95</f>
        <v>2</v>
      </c>
      <c r="E95" s="11">
        <f t="shared" si="54"/>
        <v>2</v>
      </c>
      <c r="F95" s="12">
        <v>0</v>
      </c>
      <c r="G95" s="12">
        <v>0</v>
      </c>
      <c r="H95" s="11">
        <v>0</v>
      </c>
      <c r="I95" s="12">
        <v>0</v>
      </c>
      <c r="J95" s="12">
        <v>0</v>
      </c>
      <c r="K95" s="11">
        <v>0</v>
      </c>
      <c r="L95" s="12">
        <v>1</v>
      </c>
      <c r="M95" s="12">
        <v>2</v>
      </c>
      <c r="N95" s="11">
        <f>M95/L95</f>
        <v>2</v>
      </c>
      <c r="O95" s="12">
        <v>0</v>
      </c>
      <c r="P95" s="12">
        <v>0</v>
      </c>
      <c r="Q95" s="13">
        <v>0</v>
      </c>
      <c r="R95" s="12">
        <v>0</v>
      </c>
      <c r="S95" s="22">
        <v>0</v>
      </c>
      <c r="T95" s="28"/>
      <c r="U95" s="25"/>
      <c r="V95" s="24"/>
      <c r="W95" s="36">
        <f t="shared" si="55"/>
        <v>1</v>
      </c>
      <c r="X95" s="1"/>
    </row>
    <row r="96" spans="1:24" x14ac:dyDescent="0.2">
      <c r="A96" s="1">
        <v>94</v>
      </c>
      <c r="B96" s="10" t="s">
        <v>124</v>
      </c>
      <c r="C96" s="12">
        <f t="shared" si="63"/>
        <v>1</v>
      </c>
      <c r="D96" s="12">
        <f t="shared" si="64"/>
        <v>2</v>
      </c>
      <c r="E96" s="11">
        <f t="shared" si="54"/>
        <v>2</v>
      </c>
      <c r="F96" s="12">
        <v>0</v>
      </c>
      <c r="G96" s="12">
        <v>0</v>
      </c>
      <c r="H96" s="11">
        <v>0</v>
      </c>
      <c r="I96" s="12">
        <v>1</v>
      </c>
      <c r="J96" s="12">
        <v>2</v>
      </c>
      <c r="K96" s="11">
        <f>J96/I96</f>
        <v>2</v>
      </c>
      <c r="L96" s="12">
        <v>0</v>
      </c>
      <c r="M96" s="12">
        <v>0</v>
      </c>
      <c r="N96" s="11">
        <v>0</v>
      </c>
      <c r="O96" s="12">
        <v>0</v>
      </c>
      <c r="P96" s="12">
        <v>0</v>
      </c>
      <c r="Q96" s="13">
        <v>0</v>
      </c>
      <c r="R96" s="12">
        <v>0</v>
      </c>
      <c r="S96" s="22">
        <v>0</v>
      </c>
      <c r="T96" s="28"/>
      <c r="U96" s="25"/>
      <c r="V96" s="24"/>
      <c r="W96" s="36">
        <f t="shared" si="55"/>
        <v>1</v>
      </c>
      <c r="X96" s="1"/>
    </row>
    <row r="97" spans="1:24" x14ac:dyDescent="0.2">
      <c r="A97" s="1">
        <v>95</v>
      </c>
      <c r="B97" s="47" t="s">
        <v>158</v>
      </c>
      <c r="C97" s="12">
        <f t="shared" si="63"/>
        <v>1</v>
      </c>
      <c r="D97" s="12">
        <f t="shared" si="64"/>
        <v>2</v>
      </c>
      <c r="E97" s="11">
        <f t="shared" si="54"/>
        <v>2</v>
      </c>
      <c r="F97" s="12">
        <v>1</v>
      </c>
      <c r="G97" s="12">
        <v>2</v>
      </c>
      <c r="H97" s="11">
        <f>G97/F97</f>
        <v>2</v>
      </c>
      <c r="I97" s="12">
        <v>0</v>
      </c>
      <c r="J97" s="12">
        <v>0</v>
      </c>
      <c r="K97" s="11">
        <v>0</v>
      </c>
      <c r="L97" s="12">
        <f>0</f>
        <v>0</v>
      </c>
      <c r="M97" s="12">
        <v>0</v>
      </c>
      <c r="N97" s="11">
        <v>0</v>
      </c>
      <c r="O97" s="12">
        <v>0</v>
      </c>
      <c r="P97" s="12">
        <v>0</v>
      </c>
      <c r="Q97" s="13">
        <v>0</v>
      </c>
      <c r="R97" s="12">
        <v>0</v>
      </c>
      <c r="S97" s="22">
        <f>0</f>
        <v>0</v>
      </c>
      <c r="T97" s="28"/>
      <c r="U97" s="25"/>
      <c r="V97" s="24"/>
      <c r="W97" s="36">
        <f t="shared" si="55"/>
        <v>1</v>
      </c>
      <c r="X97" s="1"/>
    </row>
    <row r="98" spans="1:24" x14ac:dyDescent="0.2">
      <c r="A98" s="1">
        <v>96</v>
      </c>
      <c r="B98" s="10" t="s">
        <v>101</v>
      </c>
      <c r="C98" s="12">
        <f t="shared" si="63"/>
        <v>3</v>
      </c>
      <c r="D98" s="12">
        <f t="shared" si="64"/>
        <v>2</v>
      </c>
      <c r="E98" s="11">
        <f t="shared" si="54"/>
        <v>0.66666666666666663</v>
      </c>
      <c r="F98" s="12">
        <v>2</v>
      </c>
      <c r="G98" s="12">
        <v>2</v>
      </c>
      <c r="H98" s="11">
        <f>G98/F98</f>
        <v>1</v>
      </c>
      <c r="I98" s="12">
        <v>1</v>
      </c>
      <c r="J98" s="12">
        <v>0</v>
      </c>
      <c r="K98" s="11">
        <f>J98/I98</f>
        <v>0</v>
      </c>
      <c r="L98" s="12">
        <v>0</v>
      </c>
      <c r="M98" s="12">
        <v>0</v>
      </c>
      <c r="N98" s="11">
        <v>0</v>
      </c>
      <c r="O98" s="12">
        <v>0</v>
      </c>
      <c r="P98" s="12">
        <v>0</v>
      </c>
      <c r="Q98" s="13">
        <v>0</v>
      </c>
      <c r="R98" s="12">
        <v>0</v>
      </c>
      <c r="S98" s="22">
        <v>0</v>
      </c>
      <c r="T98" s="28"/>
      <c r="U98" s="25"/>
      <c r="V98" s="24"/>
      <c r="W98" s="36">
        <f t="shared" si="55"/>
        <v>3</v>
      </c>
      <c r="X98" s="1"/>
    </row>
    <row r="99" spans="1:24" x14ac:dyDescent="0.2">
      <c r="A99" s="1">
        <v>97</v>
      </c>
      <c r="B99" s="10" t="s">
        <v>102</v>
      </c>
      <c r="C99" s="12">
        <f t="shared" si="63"/>
        <v>3</v>
      </c>
      <c r="D99" s="12">
        <f t="shared" si="64"/>
        <v>2</v>
      </c>
      <c r="E99" s="11">
        <f t="shared" si="54"/>
        <v>0.66666666666666663</v>
      </c>
      <c r="F99" s="12">
        <v>0</v>
      </c>
      <c r="G99" s="12">
        <v>0</v>
      </c>
      <c r="H99" s="11">
        <v>0</v>
      </c>
      <c r="I99" s="12">
        <v>3</v>
      </c>
      <c r="J99" s="12">
        <v>2</v>
      </c>
      <c r="K99" s="11">
        <f>J99/I99</f>
        <v>0.66666666666666663</v>
      </c>
      <c r="L99" s="12">
        <v>0</v>
      </c>
      <c r="M99" s="12">
        <v>0</v>
      </c>
      <c r="N99" s="11">
        <v>0</v>
      </c>
      <c r="O99" s="12">
        <v>0</v>
      </c>
      <c r="P99" s="12">
        <v>0</v>
      </c>
      <c r="Q99" s="13">
        <v>0</v>
      </c>
      <c r="R99" s="12">
        <v>0</v>
      </c>
      <c r="S99" s="22">
        <v>0</v>
      </c>
      <c r="T99" s="28"/>
      <c r="U99" s="25"/>
      <c r="V99" s="24"/>
      <c r="W99" s="36">
        <f t="shared" ref="W99:W125" si="65">C99+U99+V99</f>
        <v>3</v>
      </c>
    </row>
    <row r="100" spans="1:24" x14ac:dyDescent="0.2">
      <c r="A100" s="1">
        <v>98</v>
      </c>
      <c r="B100" s="46" t="s">
        <v>103</v>
      </c>
      <c r="C100" s="12">
        <f t="shared" si="63"/>
        <v>8</v>
      </c>
      <c r="D100" s="12">
        <f t="shared" si="64"/>
        <v>2</v>
      </c>
      <c r="E100" s="11">
        <f t="shared" ref="E100:E109" si="66">D100/C100</f>
        <v>0.25</v>
      </c>
      <c r="F100" s="12">
        <f>3+2</f>
        <v>5</v>
      </c>
      <c r="G100" s="12">
        <f>0+1</f>
        <v>1</v>
      </c>
      <c r="H100" s="11">
        <f>G100/F100</f>
        <v>0.2</v>
      </c>
      <c r="I100" s="12">
        <f>2+1</f>
        <v>3</v>
      </c>
      <c r="J100" s="12">
        <v>1</v>
      </c>
      <c r="K100" s="11">
        <f>J100/I100</f>
        <v>0.33333333333333331</v>
      </c>
      <c r="L100" s="12">
        <v>0</v>
      </c>
      <c r="M100" s="12">
        <v>0</v>
      </c>
      <c r="N100" s="11">
        <v>0</v>
      </c>
      <c r="O100" s="12">
        <v>3</v>
      </c>
      <c r="P100" s="12">
        <v>0</v>
      </c>
      <c r="Q100" s="13">
        <v>0</v>
      </c>
      <c r="R100" s="12">
        <v>0</v>
      </c>
      <c r="S100" s="22">
        <v>0</v>
      </c>
      <c r="T100" s="28"/>
      <c r="U100" s="25"/>
      <c r="V100" s="24"/>
      <c r="W100" s="36">
        <f t="shared" si="65"/>
        <v>8</v>
      </c>
      <c r="X100" s="1"/>
    </row>
    <row r="101" spans="1:24" x14ac:dyDescent="0.2">
      <c r="A101" s="1">
        <v>99</v>
      </c>
      <c r="B101" s="10" t="s">
        <v>104</v>
      </c>
      <c r="C101" s="12">
        <f t="shared" si="63"/>
        <v>1</v>
      </c>
      <c r="D101" s="12">
        <f t="shared" si="64"/>
        <v>1</v>
      </c>
      <c r="E101" s="11">
        <f t="shared" si="66"/>
        <v>1</v>
      </c>
      <c r="F101" s="12">
        <v>0</v>
      </c>
      <c r="G101" s="12">
        <v>0</v>
      </c>
      <c r="H101" s="11">
        <v>0</v>
      </c>
      <c r="I101" s="12">
        <v>0</v>
      </c>
      <c r="J101" s="12">
        <v>0</v>
      </c>
      <c r="K101" s="11">
        <v>0</v>
      </c>
      <c r="L101" s="12">
        <v>1</v>
      </c>
      <c r="M101" s="12">
        <v>1</v>
      </c>
      <c r="N101" s="11">
        <f>M101/L101</f>
        <v>1</v>
      </c>
      <c r="O101" s="12">
        <v>0</v>
      </c>
      <c r="P101" s="12">
        <v>0</v>
      </c>
      <c r="Q101" s="13">
        <v>0</v>
      </c>
      <c r="R101" s="12">
        <v>3</v>
      </c>
      <c r="S101" s="22">
        <v>0</v>
      </c>
      <c r="T101" s="28"/>
      <c r="U101" s="25"/>
      <c r="V101" s="24"/>
      <c r="W101" s="36">
        <f t="shared" si="65"/>
        <v>1</v>
      </c>
      <c r="X101" s="1"/>
    </row>
    <row r="102" spans="1:24" x14ac:dyDescent="0.2">
      <c r="A102" s="1">
        <v>100</v>
      </c>
      <c r="B102" s="10" t="s">
        <v>105</v>
      </c>
      <c r="C102" s="12">
        <f t="shared" si="63"/>
        <v>1</v>
      </c>
      <c r="D102" s="12">
        <f t="shared" si="64"/>
        <v>1</v>
      </c>
      <c r="E102" s="11">
        <f t="shared" si="66"/>
        <v>1</v>
      </c>
      <c r="F102" s="12">
        <v>0</v>
      </c>
      <c r="G102" s="12">
        <v>0</v>
      </c>
      <c r="H102" s="11">
        <v>0</v>
      </c>
      <c r="I102" s="12">
        <v>1</v>
      </c>
      <c r="J102" s="12">
        <v>1</v>
      </c>
      <c r="K102" s="11">
        <f>J102/I102</f>
        <v>1</v>
      </c>
      <c r="L102" s="12">
        <v>0</v>
      </c>
      <c r="M102" s="12">
        <v>0</v>
      </c>
      <c r="N102" s="11">
        <v>0</v>
      </c>
      <c r="O102" s="12">
        <v>0</v>
      </c>
      <c r="P102" s="12">
        <v>0</v>
      </c>
      <c r="Q102" s="13">
        <v>0</v>
      </c>
      <c r="R102" s="12">
        <v>0</v>
      </c>
      <c r="S102" s="22">
        <v>0</v>
      </c>
      <c r="T102" s="28"/>
      <c r="U102" s="25"/>
      <c r="V102" s="24"/>
      <c r="W102" s="36">
        <f t="shared" si="65"/>
        <v>1</v>
      </c>
      <c r="X102" s="1"/>
    </row>
    <row r="103" spans="1:24" x14ac:dyDescent="0.2">
      <c r="A103" s="1">
        <v>101</v>
      </c>
      <c r="B103" s="10" t="s">
        <v>106</v>
      </c>
      <c r="C103" s="12">
        <f t="shared" si="63"/>
        <v>1</v>
      </c>
      <c r="D103" s="12">
        <f t="shared" si="64"/>
        <v>1</v>
      </c>
      <c r="E103" s="11">
        <f t="shared" si="66"/>
        <v>1</v>
      </c>
      <c r="F103" s="12">
        <v>0</v>
      </c>
      <c r="G103" s="12">
        <v>0</v>
      </c>
      <c r="H103" s="11">
        <v>0</v>
      </c>
      <c r="I103" s="12">
        <v>0</v>
      </c>
      <c r="J103" s="12">
        <v>0</v>
      </c>
      <c r="K103" s="11">
        <v>0</v>
      </c>
      <c r="L103" s="12">
        <v>1</v>
      </c>
      <c r="M103" s="12">
        <v>1</v>
      </c>
      <c r="N103" s="11">
        <f>M103/L103</f>
        <v>1</v>
      </c>
      <c r="O103" s="12">
        <v>0</v>
      </c>
      <c r="P103" s="12">
        <v>0</v>
      </c>
      <c r="Q103" s="13">
        <v>0</v>
      </c>
      <c r="R103" s="12">
        <v>0</v>
      </c>
      <c r="S103" s="22">
        <v>0</v>
      </c>
      <c r="T103" s="28"/>
      <c r="U103" s="25"/>
      <c r="V103" s="24"/>
      <c r="W103" s="36">
        <f t="shared" si="65"/>
        <v>1</v>
      </c>
      <c r="X103" s="1"/>
    </row>
    <row r="104" spans="1:24" x14ac:dyDescent="0.2">
      <c r="A104" s="1">
        <v>102</v>
      </c>
      <c r="B104" s="10" t="s">
        <v>107</v>
      </c>
      <c r="C104" s="12">
        <f t="shared" si="63"/>
        <v>1</v>
      </c>
      <c r="D104" s="12">
        <f t="shared" si="64"/>
        <v>1</v>
      </c>
      <c r="E104" s="11">
        <f t="shared" si="66"/>
        <v>1</v>
      </c>
      <c r="F104" s="12">
        <v>0</v>
      </c>
      <c r="G104" s="12">
        <v>0</v>
      </c>
      <c r="H104" s="11">
        <v>0</v>
      </c>
      <c r="I104" s="12">
        <v>1</v>
      </c>
      <c r="J104" s="12">
        <v>1</v>
      </c>
      <c r="K104" s="11">
        <f t="shared" ref="K104:K109" si="67">J104/I104</f>
        <v>1</v>
      </c>
      <c r="L104" s="12">
        <v>0</v>
      </c>
      <c r="M104" s="12">
        <v>0</v>
      </c>
      <c r="N104" s="11">
        <v>0</v>
      </c>
      <c r="O104" s="12">
        <v>0</v>
      </c>
      <c r="P104" s="12">
        <v>0</v>
      </c>
      <c r="Q104" s="13">
        <v>0</v>
      </c>
      <c r="R104" s="12">
        <v>0</v>
      </c>
      <c r="S104" s="22">
        <v>0</v>
      </c>
      <c r="T104" s="28"/>
      <c r="U104" s="25"/>
      <c r="V104" s="24"/>
      <c r="W104" s="36">
        <f t="shared" si="65"/>
        <v>1</v>
      </c>
      <c r="X104" s="1"/>
    </row>
    <row r="105" spans="1:24" x14ac:dyDescent="0.2">
      <c r="A105" s="1">
        <v>103</v>
      </c>
      <c r="B105" s="10" t="s">
        <v>125</v>
      </c>
      <c r="C105" s="12">
        <f t="shared" si="63"/>
        <v>1</v>
      </c>
      <c r="D105" s="12">
        <f t="shared" si="64"/>
        <v>1</v>
      </c>
      <c r="E105" s="11">
        <f t="shared" si="66"/>
        <v>1</v>
      </c>
      <c r="F105" s="12">
        <v>0</v>
      </c>
      <c r="G105" s="12">
        <v>0</v>
      </c>
      <c r="H105" s="11">
        <v>0</v>
      </c>
      <c r="I105" s="12">
        <v>1</v>
      </c>
      <c r="J105" s="12">
        <v>1</v>
      </c>
      <c r="K105" s="11">
        <f t="shared" si="67"/>
        <v>1</v>
      </c>
      <c r="L105" s="12">
        <v>0</v>
      </c>
      <c r="M105" s="12">
        <v>0</v>
      </c>
      <c r="N105" s="11">
        <v>0</v>
      </c>
      <c r="O105" s="12">
        <v>0</v>
      </c>
      <c r="P105" s="12">
        <v>0</v>
      </c>
      <c r="Q105" s="13">
        <v>0</v>
      </c>
      <c r="R105" s="12">
        <v>1</v>
      </c>
      <c r="S105" s="22">
        <v>0</v>
      </c>
      <c r="T105" s="28"/>
      <c r="U105" s="25"/>
      <c r="V105" s="24"/>
      <c r="W105" s="36">
        <f t="shared" si="65"/>
        <v>1</v>
      </c>
      <c r="X105" s="1"/>
    </row>
    <row r="106" spans="1:24" x14ac:dyDescent="0.2">
      <c r="A106" s="1">
        <v>104</v>
      </c>
      <c r="B106" s="10" t="s">
        <v>108</v>
      </c>
      <c r="C106" s="12">
        <f t="shared" si="63"/>
        <v>2</v>
      </c>
      <c r="D106" s="12">
        <f t="shared" si="64"/>
        <v>1</v>
      </c>
      <c r="E106" s="11">
        <f t="shared" si="66"/>
        <v>0.5</v>
      </c>
      <c r="F106" s="12">
        <v>0</v>
      </c>
      <c r="G106" s="12">
        <v>0</v>
      </c>
      <c r="H106" s="11">
        <v>0</v>
      </c>
      <c r="I106" s="12">
        <v>2</v>
      </c>
      <c r="J106" s="12">
        <v>1</v>
      </c>
      <c r="K106" s="11">
        <f t="shared" si="67"/>
        <v>0.5</v>
      </c>
      <c r="L106" s="12">
        <v>0</v>
      </c>
      <c r="M106" s="12">
        <v>0</v>
      </c>
      <c r="N106" s="11">
        <v>0</v>
      </c>
      <c r="O106" s="12">
        <v>0</v>
      </c>
      <c r="P106" s="12">
        <v>0</v>
      </c>
      <c r="Q106" s="13">
        <v>0</v>
      </c>
      <c r="R106" s="12">
        <v>0</v>
      </c>
      <c r="S106" s="22">
        <v>0</v>
      </c>
      <c r="T106" s="28"/>
      <c r="U106" s="25"/>
      <c r="V106" s="24"/>
      <c r="W106" s="36">
        <f t="shared" si="65"/>
        <v>2</v>
      </c>
    </row>
    <row r="107" spans="1:24" x14ac:dyDescent="0.2">
      <c r="A107" s="1">
        <v>105</v>
      </c>
      <c r="B107" s="10" t="s">
        <v>109</v>
      </c>
      <c r="C107" s="12">
        <f t="shared" si="63"/>
        <v>2</v>
      </c>
      <c r="D107" s="12">
        <f t="shared" si="64"/>
        <v>1</v>
      </c>
      <c r="E107" s="11">
        <f t="shared" si="66"/>
        <v>0.5</v>
      </c>
      <c r="F107" s="12">
        <v>0</v>
      </c>
      <c r="G107" s="12">
        <v>0</v>
      </c>
      <c r="H107" s="11">
        <v>0</v>
      </c>
      <c r="I107" s="12">
        <v>2</v>
      </c>
      <c r="J107" s="12">
        <v>1</v>
      </c>
      <c r="K107" s="11">
        <f t="shared" si="67"/>
        <v>0.5</v>
      </c>
      <c r="L107" s="12">
        <v>0</v>
      </c>
      <c r="M107" s="12">
        <v>0</v>
      </c>
      <c r="N107" s="11">
        <v>0</v>
      </c>
      <c r="O107" s="12">
        <v>0</v>
      </c>
      <c r="P107" s="12">
        <v>0</v>
      </c>
      <c r="Q107" s="13">
        <v>0</v>
      </c>
      <c r="R107" s="12">
        <v>0</v>
      </c>
      <c r="S107" s="22">
        <v>0</v>
      </c>
      <c r="T107" s="28"/>
      <c r="U107" s="25"/>
      <c r="V107" s="24"/>
      <c r="W107" s="36">
        <f t="shared" si="65"/>
        <v>2</v>
      </c>
    </row>
    <row r="108" spans="1:24" x14ac:dyDescent="0.2">
      <c r="A108" s="1">
        <v>106</v>
      </c>
      <c r="B108" s="10" t="s">
        <v>126</v>
      </c>
      <c r="C108" s="12">
        <f t="shared" si="63"/>
        <v>3</v>
      </c>
      <c r="D108" s="12">
        <f t="shared" si="64"/>
        <v>1</v>
      </c>
      <c r="E108" s="11">
        <f t="shared" si="66"/>
        <v>0.33333333333333331</v>
      </c>
      <c r="F108" s="12">
        <f>0+1+1</f>
        <v>2</v>
      </c>
      <c r="G108" s="12">
        <f>0+0+1</f>
        <v>1</v>
      </c>
      <c r="H108" s="11">
        <v>0</v>
      </c>
      <c r="I108" s="12">
        <f>1+0</f>
        <v>1</v>
      </c>
      <c r="J108" s="12">
        <f>0+0</f>
        <v>0</v>
      </c>
      <c r="K108" s="11">
        <f t="shared" si="67"/>
        <v>0</v>
      </c>
      <c r="L108" s="12">
        <v>0</v>
      </c>
      <c r="M108" s="12">
        <v>0</v>
      </c>
      <c r="N108" s="11">
        <v>0</v>
      </c>
      <c r="O108" s="12">
        <v>0</v>
      </c>
      <c r="P108" s="12">
        <v>0</v>
      </c>
      <c r="Q108" s="13">
        <v>0</v>
      </c>
      <c r="R108" s="12">
        <v>0</v>
      </c>
      <c r="S108" s="22">
        <v>0</v>
      </c>
      <c r="T108" s="28"/>
      <c r="U108" s="25"/>
      <c r="V108" s="24"/>
      <c r="W108" s="36">
        <f t="shared" si="65"/>
        <v>3</v>
      </c>
    </row>
    <row r="109" spans="1:24" x14ac:dyDescent="0.2">
      <c r="A109" s="1">
        <v>107</v>
      </c>
      <c r="B109" s="46" t="s">
        <v>165</v>
      </c>
      <c r="C109" s="12">
        <f t="shared" si="63"/>
        <v>463</v>
      </c>
      <c r="D109" s="12">
        <f t="shared" si="64"/>
        <v>1</v>
      </c>
      <c r="E109" s="44">
        <f t="shared" si="66"/>
        <v>2.1598272138228943E-3</v>
      </c>
      <c r="F109" s="12">
        <f>3+17+18+18+15+16+18+17+17+17+12+1+22+1+1+1+4+18+15+16+1+1+19</f>
        <v>268</v>
      </c>
      <c r="G109" s="12">
        <f>0+1+0</f>
        <v>1</v>
      </c>
      <c r="H109" s="44">
        <f>G109/F109</f>
        <v>3.7313432835820895E-3</v>
      </c>
      <c r="I109" s="12">
        <f>6+9+12+12+13+12+13+11+8+12+4+10+9+3+3+1+14+10+3+7</f>
        <v>172</v>
      </c>
      <c r="J109" s="12">
        <v>0</v>
      </c>
      <c r="K109" s="11">
        <f t="shared" si="67"/>
        <v>0</v>
      </c>
      <c r="L109" s="12">
        <f>13+1+1+1+3+1+1+2</f>
        <v>23</v>
      </c>
      <c r="M109" s="12">
        <v>0</v>
      </c>
      <c r="N109" s="11">
        <v>0</v>
      </c>
      <c r="O109" s="12">
        <v>0</v>
      </c>
      <c r="P109" s="12">
        <v>0</v>
      </c>
      <c r="Q109" s="13">
        <v>0</v>
      </c>
      <c r="R109" s="12">
        <f>1+4+2+1+0+0+2+1+1</f>
        <v>12</v>
      </c>
      <c r="S109" s="22">
        <v>0</v>
      </c>
      <c r="T109" s="28" t="s">
        <v>153</v>
      </c>
      <c r="U109" s="25"/>
      <c r="V109" s="24">
        <v>1</v>
      </c>
      <c r="W109" s="36">
        <f t="shared" si="65"/>
        <v>464</v>
      </c>
    </row>
    <row r="110" spans="1:24" x14ac:dyDescent="0.2">
      <c r="A110" s="1">
        <v>108</v>
      </c>
      <c r="B110" s="10" t="s">
        <v>110</v>
      </c>
      <c r="C110" s="12">
        <f t="shared" si="63"/>
        <v>1</v>
      </c>
      <c r="D110" s="12">
        <f t="shared" si="64"/>
        <v>0</v>
      </c>
      <c r="E110" s="11">
        <v>0</v>
      </c>
      <c r="F110" s="12">
        <v>0</v>
      </c>
      <c r="G110" s="12">
        <v>0</v>
      </c>
      <c r="H110" s="11">
        <v>0</v>
      </c>
      <c r="I110" s="12">
        <v>1</v>
      </c>
      <c r="J110" s="12">
        <v>0</v>
      </c>
      <c r="K110" s="11">
        <v>0</v>
      </c>
      <c r="L110" s="12">
        <v>0</v>
      </c>
      <c r="M110" s="12">
        <v>0</v>
      </c>
      <c r="N110" s="11">
        <v>0</v>
      </c>
      <c r="O110" s="12">
        <v>0</v>
      </c>
      <c r="P110" s="12">
        <v>0</v>
      </c>
      <c r="Q110" s="13">
        <v>0</v>
      </c>
      <c r="R110" s="12">
        <v>0</v>
      </c>
      <c r="S110" s="22">
        <v>0</v>
      </c>
      <c r="T110" s="28"/>
      <c r="U110" s="25"/>
      <c r="V110" s="24"/>
      <c r="W110" s="36">
        <f t="shared" si="65"/>
        <v>1</v>
      </c>
      <c r="X110" s="1"/>
    </row>
    <row r="111" spans="1:24" x14ac:dyDescent="0.2">
      <c r="A111" s="1">
        <v>109</v>
      </c>
      <c r="B111" s="10" t="s">
        <v>111</v>
      </c>
      <c r="C111" s="12">
        <f t="shared" si="63"/>
        <v>1</v>
      </c>
      <c r="D111" s="12">
        <f t="shared" si="64"/>
        <v>0</v>
      </c>
      <c r="E111" s="11">
        <f>D111/C111</f>
        <v>0</v>
      </c>
      <c r="F111" s="12">
        <v>1</v>
      </c>
      <c r="G111" s="12">
        <v>0</v>
      </c>
      <c r="H111" s="11">
        <f>G111/F111</f>
        <v>0</v>
      </c>
      <c r="I111" s="12">
        <v>0</v>
      </c>
      <c r="J111" s="12">
        <v>0</v>
      </c>
      <c r="K111" s="11">
        <v>0</v>
      </c>
      <c r="L111" s="12">
        <v>0</v>
      </c>
      <c r="M111" s="12">
        <v>0</v>
      </c>
      <c r="N111" s="11">
        <v>0</v>
      </c>
      <c r="O111" s="12">
        <v>0</v>
      </c>
      <c r="P111" s="12">
        <v>0</v>
      </c>
      <c r="Q111" s="13">
        <v>0</v>
      </c>
      <c r="R111" s="12">
        <v>0</v>
      </c>
      <c r="S111" s="22">
        <v>0</v>
      </c>
      <c r="T111" s="28"/>
      <c r="U111" s="25"/>
      <c r="V111" s="24"/>
      <c r="W111" s="36">
        <f t="shared" si="65"/>
        <v>1</v>
      </c>
      <c r="X111" s="14"/>
    </row>
    <row r="112" spans="1:24" x14ac:dyDescent="0.2">
      <c r="A112" s="1">
        <v>110</v>
      </c>
      <c r="B112" s="10" t="s">
        <v>112</v>
      </c>
      <c r="C112" s="12">
        <f t="shared" si="63"/>
        <v>1</v>
      </c>
      <c r="D112" s="12">
        <f t="shared" si="64"/>
        <v>0</v>
      </c>
      <c r="E112" s="11">
        <f>D112/C112</f>
        <v>0</v>
      </c>
      <c r="F112" s="12">
        <v>0</v>
      </c>
      <c r="G112" s="12">
        <v>0</v>
      </c>
      <c r="H112" s="11">
        <v>0</v>
      </c>
      <c r="I112" s="12">
        <v>0</v>
      </c>
      <c r="J112" s="12">
        <v>0</v>
      </c>
      <c r="K112" s="11">
        <v>0</v>
      </c>
      <c r="L112" s="12">
        <v>1</v>
      </c>
      <c r="M112" s="12">
        <v>0</v>
      </c>
      <c r="N112" s="11">
        <v>0</v>
      </c>
      <c r="O112" s="12">
        <v>0</v>
      </c>
      <c r="P112" s="12">
        <v>0</v>
      </c>
      <c r="Q112" s="13">
        <v>0</v>
      </c>
      <c r="R112" s="12">
        <v>0</v>
      </c>
      <c r="S112" s="22">
        <v>0</v>
      </c>
      <c r="T112" s="28"/>
      <c r="U112" s="25"/>
      <c r="V112" s="24"/>
      <c r="W112" s="36">
        <f t="shared" si="65"/>
        <v>1</v>
      </c>
      <c r="X112" s="1"/>
    </row>
    <row r="113" spans="1:24" x14ac:dyDescent="0.2">
      <c r="A113" s="1">
        <v>111</v>
      </c>
      <c r="B113" s="10" t="s">
        <v>113</v>
      </c>
      <c r="C113" s="12">
        <f t="shared" si="63"/>
        <v>1</v>
      </c>
      <c r="D113" s="12">
        <f t="shared" si="64"/>
        <v>0</v>
      </c>
      <c r="E113" s="11">
        <f>D113/C113</f>
        <v>0</v>
      </c>
      <c r="F113" s="12">
        <v>0</v>
      </c>
      <c r="G113" s="12">
        <v>0</v>
      </c>
      <c r="H113" s="11">
        <v>0</v>
      </c>
      <c r="I113" s="12">
        <v>1</v>
      </c>
      <c r="J113" s="12">
        <v>0</v>
      </c>
      <c r="K113" s="11">
        <f>J113/I113</f>
        <v>0</v>
      </c>
      <c r="L113" s="12">
        <v>0</v>
      </c>
      <c r="M113" s="12">
        <v>0</v>
      </c>
      <c r="N113" s="11">
        <v>0</v>
      </c>
      <c r="O113" s="12">
        <v>0</v>
      </c>
      <c r="P113" s="12">
        <v>0</v>
      </c>
      <c r="Q113" s="13">
        <v>0</v>
      </c>
      <c r="R113" s="12">
        <v>0</v>
      </c>
      <c r="S113" s="22">
        <v>0</v>
      </c>
      <c r="T113" s="28"/>
      <c r="U113" s="25"/>
      <c r="V113" s="24"/>
      <c r="W113" s="36">
        <f t="shared" si="65"/>
        <v>1</v>
      </c>
    </row>
    <row r="114" spans="1:24" x14ac:dyDescent="0.2">
      <c r="A114" s="1">
        <v>112</v>
      </c>
      <c r="B114" s="10" t="s">
        <v>114</v>
      </c>
      <c r="C114" s="12">
        <f t="shared" si="63"/>
        <v>1</v>
      </c>
      <c r="D114" s="12">
        <f t="shared" si="64"/>
        <v>0</v>
      </c>
      <c r="E114" s="11">
        <f>D114/C114</f>
        <v>0</v>
      </c>
      <c r="F114" s="12">
        <v>0</v>
      </c>
      <c r="G114" s="12">
        <v>0</v>
      </c>
      <c r="H114" s="11">
        <v>0</v>
      </c>
      <c r="I114" s="12">
        <v>1</v>
      </c>
      <c r="J114" s="12">
        <v>0</v>
      </c>
      <c r="K114" s="11">
        <f>J114/I114</f>
        <v>0</v>
      </c>
      <c r="L114" s="12">
        <v>0</v>
      </c>
      <c r="M114" s="12">
        <v>0</v>
      </c>
      <c r="N114" s="11">
        <v>0</v>
      </c>
      <c r="O114" s="12">
        <v>0</v>
      </c>
      <c r="P114" s="12">
        <v>0</v>
      </c>
      <c r="Q114" s="13">
        <v>0</v>
      </c>
      <c r="R114" s="12">
        <v>1</v>
      </c>
      <c r="S114" s="22">
        <v>0</v>
      </c>
      <c r="T114" s="28"/>
      <c r="U114" s="25"/>
      <c r="V114" s="24"/>
      <c r="W114" s="36">
        <f t="shared" si="65"/>
        <v>1</v>
      </c>
      <c r="X114" s="1"/>
    </row>
    <row r="115" spans="1:24" x14ac:dyDescent="0.2">
      <c r="A115" s="1">
        <v>113</v>
      </c>
      <c r="B115" s="46" t="s">
        <v>164</v>
      </c>
      <c r="C115" s="12">
        <f t="shared" si="63"/>
        <v>1</v>
      </c>
      <c r="D115" s="12">
        <f t="shared" si="64"/>
        <v>0</v>
      </c>
      <c r="E115" s="11">
        <f>D115/C115</f>
        <v>0</v>
      </c>
      <c r="F115" s="12">
        <v>0</v>
      </c>
      <c r="G115" s="12">
        <v>0</v>
      </c>
      <c r="H115" s="11">
        <v>0</v>
      </c>
      <c r="I115" s="12">
        <v>1</v>
      </c>
      <c r="J115" s="12">
        <v>0</v>
      </c>
      <c r="K115" s="11">
        <f>J115/I115</f>
        <v>0</v>
      </c>
      <c r="L115" s="12">
        <v>0</v>
      </c>
      <c r="M115" s="12">
        <v>0</v>
      </c>
      <c r="N115" s="11">
        <v>0</v>
      </c>
      <c r="O115" s="12">
        <v>0</v>
      </c>
      <c r="P115" s="12">
        <v>0</v>
      </c>
      <c r="Q115" s="13">
        <v>0</v>
      </c>
      <c r="R115" s="12">
        <v>0</v>
      </c>
      <c r="S115" s="22">
        <v>0</v>
      </c>
      <c r="T115" s="28" t="s">
        <v>163</v>
      </c>
      <c r="U115" s="25"/>
      <c r="V115" s="24"/>
      <c r="W115" s="36">
        <f t="shared" si="65"/>
        <v>1</v>
      </c>
    </row>
    <row r="116" spans="1:24" x14ac:dyDescent="0.2">
      <c r="A116" s="1">
        <v>114</v>
      </c>
      <c r="B116" s="49" t="s">
        <v>144</v>
      </c>
      <c r="C116" s="12">
        <f t="shared" ref="C116" si="68">+F116+I116+L116</f>
        <v>2</v>
      </c>
      <c r="D116" s="12">
        <f t="shared" ref="D116" si="69">+G116+J116+M116</f>
        <v>0</v>
      </c>
      <c r="E116" s="11">
        <f t="shared" ref="E116:E117" si="70">D116/C116</f>
        <v>0</v>
      </c>
      <c r="F116" s="12">
        <v>0</v>
      </c>
      <c r="G116" s="12">
        <v>0</v>
      </c>
      <c r="H116" s="11">
        <v>0</v>
      </c>
      <c r="I116" s="12">
        <f>1+1</f>
        <v>2</v>
      </c>
      <c r="J116" s="12">
        <f>0</f>
        <v>0</v>
      </c>
      <c r="K116" s="11">
        <v>0</v>
      </c>
      <c r="L116" s="12">
        <f>0</f>
        <v>0</v>
      </c>
      <c r="M116" s="12">
        <v>0</v>
      </c>
      <c r="N116" s="11">
        <v>0</v>
      </c>
      <c r="O116" s="12">
        <v>0</v>
      </c>
      <c r="P116" s="12">
        <v>0</v>
      </c>
      <c r="Q116" s="13">
        <v>0</v>
      </c>
      <c r="R116" s="12">
        <v>2</v>
      </c>
      <c r="S116" s="22">
        <f>0</f>
        <v>0</v>
      </c>
      <c r="T116" s="28"/>
      <c r="U116" s="25"/>
      <c r="V116" s="24"/>
      <c r="W116" s="36">
        <f t="shared" si="65"/>
        <v>2</v>
      </c>
    </row>
    <row r="117" spans="1:24" x14ac:dyDescent="0.2">
      <c r="A117" s="1">
        <v>115</v>
      </c>
      <c r="B117" s="10" t="s">
        <v>115</v>
      </c>
      <c r="C117" s="12">
        <f t="shared" ref="C117:C119" si="71">+F117+I117+L117</f>
        <v>2</v>
      </c>
      <c r="D117" s="12">
        <f t="shared" ref="D117:D119" si="72">+G117+J117+M117</f>
        <v>0</v>
      </c>
      <c r="E117" s="11">
        <f t="shared" si="70"/>
        <v>0</v>
      </c>
      <c r="F117" s="12">
        <v>0</v>
      </c>
      <c r="G117" s="12">
        <v>0</v>
      </c>
      <c r="H117" s="11">
        <v>0</v>
      </c>
      <c r="I117" s="12">
        <v>1</v>
      </c>
      <c r="J117" s="12">
        <v>0</v>
      </c>
      <c r="K117" s="11">
        <v>0</v>
      </c>
      <c r="L117" s="12">
        <v>1</v>
      </c>
      <c r="M117" s="12">
        <v>0</v>
      </c>
      <c r="N117" s="11">
        <v>0</v>
      </c>
      <c r="O117" s="12">
        <v>0</v>
      </c>
      <c r="P117" s="12">
        <v>0</v>
      </c>
      <c r="Q117" s="13">
        <v>0</v>
      </c>
      <c r="R117" s="12">
        <v>0</v>
      </c>
      <c r="S117" s="22">
        <v>0</v>
      </c>
      <c r="T117" s="28"/>
      <c r="U117" s="25"/>
      <c r="V117" s="24"/>
      <c r="W117" s="36">
        <f t="shared" si="65"/>
        <v>2</v>
      </c>
      <c r="X117" s="1"/>
    </row>
    <row r="118" spans="1:24" x14ac:dyDescent="0.2">
      <c r="A118" s="1">
        <v>116</v>
      </c>
      <c r="B118" s="10" t="s">
        <v>116</v>
      </c>
      <c r="C118" s="12">
        <f t="shared" si="71"/>
        <v>2</v>
      </c>
      <c r="D118" s="12">
        <f t="shared" si="72"/>
        <v>0</v>
      </c>
      <c r="E118" s="11">
        <f>D120/C118</f>
        <v>0</v>
      </c>
      <c r="F118" s="12">
        <v>0</v>
      </c>
      <c r="G118" s="12">
        <v>0</v>
      </c>
      <c r="H118" s="11">
        <v>0</v>
      </c>
      <c r="I118" s="12">
        <v>2</v>
      </c>
      <c r="J118" s="12">
        <v>0</v>
      </c>
      <c r="K118" s="11">
        <f>J118/I118</f>
        <v>0</v>
      </c>
      <c r="L118" s="12">
        <v>0</v>
      </c>
      <c r="M118" s="12">
        <v>0</v>
      </c>
      <c r="N118" s="11">
        <v>0</v>
      </c>
      <c r="O118" s="12">
        <v>0</v>
      </c>
      <c r="P118" s="12">
        <v>0</v>
      </c>
      <c r="Q118" s="13">
        <v>0</v>
      </c>
      <c r="R118" s="12">
        <v>0</v>
      </c>
      <c r="S118" s="22">
        <v>0</v>
      </c>
      <c r="T118" s="28"/>
      <c r="U118" s="25"/>
      <c r="V118" s="24"/>
      <c r="W118" s="36">
        <f t="shared" si="65"/>
        <v>2</v>
      </c>
    </row>
    <row r="119" spans="1:24" x14ac:dyDescent="0.2">
      <c r="A119" s="1">
        <v>117</v>
      </c>
      <c r="B119" s="10" t="s">
        <v>117</v>
      </c>
      <c r="C119" s="12">
        <f t="shared" si="71"/>
        <v>2</v>
      </c>
      <c r="D119" s="12">
        <f t="shared" si="72"/>
        <v>0</v>
      </c>
      <c r="E119" s="11">
        <f>D119/C119</f>
        <v>0</v>
      </c>
      <c r="F119" s="12">
        <f>1</f>
        <v>1</v>
      </c>
      <c r="G119" s="12">
        <f>0</f>
        <v>0</v>
      </c>
      <c r="H119" s="11">
        <v>0</v>
      </c>
      <c r="I119" s="12">
        <v>1</v>
      </c>
      <c r="J119" s="12">
        <v>0</v>
      </c>
      <c r="K119" s="11">
        <f>J119/I119</f>
        <v>0</v>
      </c>
      <c r="L119" s="12">
        <v>0</v>
      </c>
      <c r="M119" s="12">
        <v>0</v>
      </c>
      <c r="N119" s="11">
        <v>0</v>
      </c>
      <c r="O119" s="12">
        <v>0</v>
      </c>
      <c r="P119" s="12">
        <v>0</v>
      </c>
      <c r="Q119" s="13">
        <v>0</v>
      </c>
      <c r="R119" s="12">
        <v>0</v>
      </c>
      <c r="S119" s="22">
        <v>0</v>
      </c>
      <c r="T119" s="28"/>
      <c r="U119" s="25"/>
      <c r="V119" s="24"/>
      <c r="W119" s="36">
        <f t="shared" si="65"/>
        <v>2</v>
      </c>
    </row>
    <row r="120" spans="1:24" x14ac:dyDescent="0.2">
      <c r="A120" s="1">
        <v>118</v>
      </c>
      <c r="B120" s="10" t="s">
        <v>118</v>
      </c>
      <c r="C120" s="12">
        <f>+F120+I120+L120</f>
        <v>4</v>
      </c>
      <c r="D120" s="12">
        <f>+G118+J118+M118</f>
        <v>0</v>
      </c>
      <c r="E120" s="11">
        <f>D124/C120</f>
        <v>0</v>
      </c>
      <c r="F120" s="12">
        <f>2+1</f>
        <v>3</v>
      </c>
      <c r="G120" s="12">
        <v>0</v>
      </c>
      <c r="H120" s="11">
        <v>0</v>
      </c>
      <c r="I120" s="12">
        <v>1</v>
      </c>
      <c r="J120" s="12">
        <v>0</v>
      </c>
      <c r="K120" s="11">
        <v>0</v>
      </c>
      <c r="L120" s="12">
        <v>0</v>
      </c>
      <c r="M120" s="12">
        <v>0</v>
      </c>
      <c r="N120" s="11">
        <v>0</v>
      </c>
      <c r="O120" s="12">
        <v>0</v>
      </c>
      <c r="P120" s="12">
        <v>0</v>
      </c>
      <c r="Q120" s="13">
        <v>0</v>
      </c>
      <c r="R120" s="12">
        <f>2+3</f>
        <v>5</v>
      </c>
      <c r="S120" s="22">
        <v>0</v>
      </c>
      <c r="T120" s="28"/>
      <c r="U120" s="25"/>
      <c r="V120" s="24"/>
      <c r="W120" s="36">
        <f t="shared" si="65"/>
        <v>4</v>
      </c>
    </row>
    <row r="121" spans="1:24" x14ac:dyDescent="0.2">
      <c r="A121" s="1">
        <v>119</v>
      </c>
      <c r="B121" s="10" t="s">
        <v>132</v>
      </c>
      <c r="C121" s="12">
        <f>+F121+I121+L121</f>
        <v>13</v>
      </c>
      <c r="D121" s="12">
        <f>+G119+J119+M119</f>
        <v>0</v>
      </c>
      <c r="E121" s="11">
        <f>D126/C121</f>
        <v>7.6923076923076927E-2</v>
      </c>
      <c r="F121" s="12">
        <f>6</f>
        <v>6</v>
      </c>
      <c r="G121" s="12">
        <v>0</v>
      </c>
      <c r="H121" s="11">
        <v>0</v>
      </c>
      <c r="I121" s="12">
        <f>3+3</f>
        <v>6</v>
      </c>
      <c r="J121" s="12">
        <v>0</v>
      </c>
      <c r="K121" s="11">
        <v>0</v>
      </c>
      <c r="L121" s="12">
        <v>1</v>
      </c>
      <c r="M121" s="12">
        <v>0</v>
      </c>
      <c r="N121" s="11">
        <v>0</v>
      </c>
      <c r="O121" s="12">
        <v>0</v>
      </c>
      <c r="P121" s="12">
        <v>0</v>
      </c>
      <c r="Q121" s="13">
        <v>0</v>
      </c>
      <c r="R121" s="12">
        <v>0</v>
      </c>
      <c r="S121" s="22">
        <v>0</v>
      </c>
      <c r="T121" s="28"/>
      <c r="U121" s="25"/>
      <c r="V121" s="24"/>
      <c r="W121" s="36">
        <f t="shared" si="65"/>
        <v>13</v>
      </c>
    </row>
    <row r="122" spans="1:24" x14ac:dyDescent="0.2">
      <c r="A122" s="1">
        <v>120</v>
      </c>
      <c r="B122" s="49" t="s">
        <v>137</v>
      </c>
      <c r="C122" s="12">
        <f>+F122+I122+L122</f>
        <v>15</v>
      </c>
      <c r="D122" s="12">
        <f>+G122+J122+M122</f>
        <v>0</v>
      </c>
      <c r="E122" s="11">
        <v>0</v>
      </c>
      <c r="F122" s="12">
        <f>1+9</f>
        <v>10</v>
      </c>
      <c r="G122" s="12">
        <v>0</v>
      </c>
      <c r="H122" s="11">
        <v>0</v>
      </c>
      <c r="I122" s="12">
        <f>0+4</f>
        <v>4</v>
      </c>
      <c r="J122" s="12">
        <v>0</v>
      </c>
      <c r="K122" s="11">
        <v>0</v>
      </c>
      <c r="L122" s="12">
        <v>1</v>
      </c>
      <c r="M122" s="12">
        <v>0</v>
      </c>
      <c r="N122" s="11">
        <v>0</v>
      </c>
      <c r="O122" s="12">
        <v>0</v>
      </c>
      <c r="P122" s="12">
        <v>0</v>
      </c>
      <c r="Q122" s="13">
        <v>0</v>
      </c>
      <c r="R122" s="12">
        <v>0</v>
      </c>
      <c r="S122" s="22">
        <v>0</v>
      </c>
      <c r="T122" s="28"/>
      <c r="U122" s="25"/>
      <c r="V122" s="24"/>
      <c r="W122" s="36">
        <f t="shared" si="65"/>
        <v>15</v>
      </c>
    </row>
    <row r="123" spans="1:24" x14ac:dyDescent="0.2">
      <c r="A123" s="1">
        <v>121</v>
      </c>
      <c r="B123" s="10" t="s">
        <v>119</v>
      </c>
      <c r="C123" s="12">
        <f>+F123+I123+L123</f>
        <v>78</v>
      </c>
      <c r="D123" s="12">
        <f>+G123+J123+M123</f>
        <v>0</v>
      </c>
      <c r="E123" s="11">
        <f>D123/C123</f>
        <v>0</v>
      </c>
      <c r="F123" s="12">
        <f>0+17+18+14</f>
        <v>49</v>
      </c>
      <c r="G123" s="12">
        <v>0</v>
      </c>
      <c r="H123" s="11">
        <v>0</v>
      </c>
      <c r="I123" s="12">
        <f>4+7+10+4</f>
        <v>25</v>
      </c>
      <c r="J123" s="12">
        <v>0</v>
      </c>
      <c r="K123" s="11">
        <f>J123/I123</f>
        <v>0</v>
      </c>
      <c r="L123" s="12">
        <f>1+2+1</f>
        <v>4</v>
      </c>
      <c r="M123" s="12">
        <v>0</v>
      </c>
      <c r="N123" s="11">
        <v>0</v>
      </c>
      <c r="O123" s="12">
        <v>0</v>
      </c>
      <c r="P123" s="12">
        <v>0</v>
      </c>
      <c r="Q123" s="13">
        <v>0</v>
      </c>
      <c r="R123" s="12">
        <f>2</f>
        <v>2</v>
      </c>
      <c r="S123" s="22">
        <v>0</v>
      </c>
      <c r="T123" s="28"/>
      <c r="U123" s="12">
        <v>2</v>
      </c>
      <c r="V123" s="24"/>
      <c r="W123" s="36">
        <f t="shared" si="65"/>
        <v>80</v>
      </c>
    </row>
    <row r="124" spans="1:24" x14ac:dyDescent="0.2">
      <c r="A124" s="1">
        <v>122</v>
      </c>
      <c r="B124" s="10" t="s">
        <v>120</v>
      </c>
      <c r="C124" s="12">
        <f>+F124+I124+L124</f>
        <v>331</v>
      </c>
      <c r="D124" s="12">
        <f>+G124+J124+M124</f>
        <v>0</v>
      </c>
      <c r="E124" s="11">
        <f>D124/C124</f>
        <v>0</v>
      </c>
      <c r="F124" s="12">
        <f>1+10+15+12+18+11+21+19+20+21+17+18</f>
        <v>183</v>
      </c>
      <c r="G124" s="12">
        <v>0</v>
      </c>
      <c r="H124" s="11">
        <v>0</v>
      </c>
      <c r="I124" s="12">
        <f>1+1+5+13+11+11+10+12+15+11+1+31+10+10</f>
        <v>142</v>
      </c>
      <c r="J124" s="12">
        <v>0</v>
      </c>
      <c r="K124" s="11">
        <f>J124/I124</f>
        <v>0</v>
      </c>
      <c r="L124" s="12">
        <f>3+1+2</f>
        <v>6</v>
      </c>
      <c r="M124" s="12">
        <v>0</v>
      </c>
      <c r="N124" s="11">
        <v>0</v>
      </c>
      <c r="O124" s="12">
        <v>0</v>
      </c>
      <c r="P124" s="12">
        <v>0</v>
      </c>
      <c r="Q124" s="13">
        <v>0</v>
      </c>
      <c r="R124" s="12">
        <f>0+2+1+2+1+1+2</f>
        <v>9</v>
      </c>
      <c r="S124" s="22">
        <f>1+2+2+1</f>
        <v>6</v>
      </c>
      <c r="T124" s="28"/>
      <c r="U124" s="25">
        <v>2</v>
      </c>
      <c r="V124" s="24"/>
      <c r="W124" s="36">
        <f t="shared" si="65"/>
        <v>333</v>
      </c>
    </row>
    <row r="125" spans="1:24" x14ac:dyDescent="0.2">
      <c r="B125" s="10" t="s">
        <v>133</v>
      </c>
      <c r="C125" s="12">
        <v>0</v>
      </c>
      <c r="D125" s="12">
        <v>0</v>
      </c>
      <c r="E125" s="11">
        <v>0</v>
      </c>
      <c r="F125" s="12">
        <v>0</v>
      </c>
      <c r="G125" s="12">
        <v>0</v>
      </c>
      <c r="H125" s="11">
        <v>0</v>
      </c>
      <c r="I125" s="12">
        <v>0</v>
      </c>
      <c r="J125" s="12">
        <v>0</v>
      </c>
      <c r="K125" s="11">
        <v>0</v>
      </c>
      <c r="L125" s="12">
        <v>0</v>
      </c>
      <c r="M125" s="12">
        <v>0</v>
      </c>
      <c r="N125" s="11">
        <v>0</v>
      </c>
      <c r="O125" s="12">
        <v>0</v>
      </c>
      <c r="P125" s="12">
        <v>0</v>
      </c>
      <c r="Q125" s="13">
        <v>0</v>
      </c>
      <c r="R125" s="12">
        <v>2</v>
      </c>
      <c r="S125" s="22">
        <v>0</v>
      </c>
      <c r="T125" s="28"/>
      <c r="U125" s="25"/>
      <c r="V125" s="24"/>
      <c r="W125" s="36">
        <f t="shared" si="65"/>
        <v>0</v>
      </c>
    </row>
    <row r="126" spans="1:24" x14ac:dyDescent="0.2">
      <c r="B126" s="10" t="s">
        <v>121</v>
      </c>
      <c r="C126" s="12"/>
      <c r="D126" s="12">
        <v>1</v>
      </c>
      <c r="E126" s="11"/>
      <c r="F126" s="12"/>
      <c r="G126" s="12"/>
      <c r="H126" s="11"/>
      <c r="I126" s="12"/>
      <c r="J126" s="12">
        <v>1</v>
      </c>
      <c r="K126" s="11"/>
      <c r="L126" s="18"/>
      <c r="M126" s="18"/>
      <c r="N126" s="18"/>
      <c r="O126" s="18"/>
      <c r="P126" s="18"/>
      <c r="Q126" s="19"/>
      <c r="R126" s="18"/>
      <c r="S126" s="23"/>
      <c r="T126" s="28"/>
      <c r="U126" s="24"/>
      <c r="V126" s="24"/>
      <c r="W126" s="27"/>
    </row>
    <row r="127" spans="1:24" x14ac:dyDescent="0.2">
      <c r="B127" s="10" t="s">
        <v>122</v>
      </c>
      <c r="C127" s="7">
        <f>+F127+I127+L127</f>
        <v>1292</v>
      </c>
      <c r="D127" s="12">
        <f>SUM(D3:D126)</f>
        <v>30896</v>
      </c>
      <c r="E127" s="11">
        <f>D127/C127</f>
        <v>23.913312693498451</v>
      </c>
      <c r="F127" s="12">
        <f>217+18+18+18+16+18+18+18+18+17+18+18+22+22+19+22+22+21+19+22+20+20+22+22+17+1+20+20</f>
        <v>723</v>
      </c>
      <c r="G127" s="12">
        <f>SUM(G3:G126)</f>
        <v>17378</v>
      </c>
      <c r="H127" s="11">
        <f>G127/F127</f>
        <v>24.035961272475795</v>
      </c>
      <c r="I127" s="12">
        <f>203+14+14+14+14+14+14+11+12+14+12+12+16+12+14+12+12+12+13+11+10+14+10+6+6+8</f>
        <v>504</v>
      </c>
      <c r="J127" s="12">
        <f>SUM(J3:J126)</f>
        <v>12093</v>
      </c>
      <c r="K127" s="11">
        <f>J127/I127</f>
        <v>23.99404761904762</v>
      </c>
      <c r="L127" s="12">
        <f>39+1+4+1+1+1+1+3+1+2+1+1+3+2+1+1+2</f>
        <v>65</v>
      </c>
      <c r="M127" s="12">
        <f>SUM(M3:M126)</f>
        <v>1425</v>
      </c>
      <c r="N127" s="11">
        <f>M127/L127</f>
        <v>21.923076923076923</v>
      </c>
      <c r="O127" s="12">
        <f>SUM(O3:O126)</f>
        <v>3645</v>
      </c>
      <c r="P127" s="12">
        <f>SUM(P3:P126)</f>
        <v>2767</v>
      </c>
      <c r="Q127" s="13">
        <f>P127/O127</f>
        <v>0.75912208504801093</v>
      </c>
      <c r="R127" s="12">
        <f>SUM(R3:R126)</f>
        <v>3088</v>
      </c>
      <c r="S127" s="12">
        <f>SUM(S3:S126)</f>
        <v>160</v>
      </c>
      <c r="T127" s="28"/>
      <c r="U127" s="25">
        <v>2</v>
      </c>
      <c r="V127" s="24">
        <v>1</v>
      </c>
      <c r="W127" s="36">
        <f>C127+U127+V127</f>
        <v>1295</v>
      </c>
    </row>
    <row r="128" spans="1:24" ht="13.5" thickBot="1" x14ac:dyDescent="0.25">
      <c r="B128" s="10" t="s">
        <v>123</v>
      </c>
      <c r="C128" s="7">
        <f>+F128+I128+L128</f>
        <v>1292</v>
      </c>
      <c r="D128" s="7">
        <f>+G128+J128+M128</f>
        <v>25116</v>
      </c>
      <c r="E128" s="11">
        <f>D128/C128</f>
        <v>19.439628482972136</v>
      </c>
      <c r="F128" s="12">
        <f>217+18+18+18+16+18+18+18+18+17+18+18+22+22+19+22+22+21+19+22+20+20+22+22+17+1+20+20</f>
        <v>723</v>
      </c>
      <c r="G128" s="12">
        <f>2942+383+485+464+306+354+369+405+410+415+391+464+634+664+464+552+682+601+607+582+636+592+520+490+485</f>
        <v>14897</v>
      </c>
      <c r="H128" s="11">
        <f>G128/F128</f>
        <v>20.604426002766253</v>
      </c>
      <c r="I128" s="12">
        <f>203+14+14+14+14+14+14+11+12+14+12+12+16+12+14+12+12+12+13+11+10+14+10+6+6+8</f>
        <v>504</v>
      </c>
      <c r="J128" s="12">
        <f>2602+219+317+276+298+275+258+237+301+326+267+372+270+340+399+293+324+289+249+250+303+238+92+118+158</f>
        <v>9071</v>
      </c>
      <c r="K128" s="11">
        <f>J128/I128</f>
        <v>17.998015873015873</v>
      </c>
      <c r="L128" s="12">
        <f>39+1+4+1+1+1+1+3+1+2+1+1+3+2+1+1+2</f>
        <v>65</v>
      </c>
      <c r="M128" s="12">
        <f>493+19+32+24+91+18+26+29+31+71+28+26+92+58+25+28+57</f>
        <v>1148</v>
      </c>
      <c r="N128" s="11">
        <f>M128/L128</f>
        <v>17.661538461538463</v>
      </c>
      <c r="O128" s="12">
        <f>764+93+77+70+94+55+51+118+79+105+143+148+143+132+113+105+90+122+97+85+89+80+70+4+38+67</f>
        <v>3032</v>
      </c>
      <c r="P128" s="12">
        <f>527+65+59+46+69+83+60+66+101+120+109+90+77+77+65+84+77+57+64+55+49+4+28+45</f>
        <v>2077</v>
      </c>
      <c r="Q128" s="13">
        <f>P128/O128</f>
        <v>0.68502638522427439</v>
      </c>
      <c r="R128" s="12">
        <f>696+85+94+100+88+64+95+92+102+81+99+177+150+161+108+103+90+64+36+105+91+88+105+68+41+3+43+69</f>
        <v>3098</v>
      </c>
      <c r="S128" s="22">
        <f>35+8+7+8+4+3+6+7+3+10+12+12+10+9+6+7+6+2+11+7+5+7+3+1+2+4</f>
        <v>195</v>
      </c>
      <c r="T128" s="30"/>
      <c r="U128" s="33">
        <v>2</v>
      </c>
      <c r="V128" s="50">
        <v>1</v>
      </c>
      <c r="W128" s="38">
        <f>C128+U128+V128</f>
        <v>1295</v>
      </c>
    </row>
    <row r="129" spans="2:23" x14ac:dyDescent="0.2">
      <c r="B129" s="14"/>
      <c r="C129" s="14"/>
      <c r="D129" s="14"/>
      <c r="E129" s="35"/>
      <c r="F129" s="14"/>
      <c r="G129" s="14"/>
      <c r="H129" s="35"/>
      <c r="I129" s="14"/>
      <c r="J129" s="14"/>
      <c r="K129" s="35"/>
      <c r="L129" s="14"/>
      <c r="M129" s="14"/>
      <c r="N129" s="35"/>
      <c r="O129" s="14"/>
      <c r="P129" s="14"/>
      <c r="Q129" s="14"/>
      <c r="R129" s="14"/>
      <c r="S129" s="37"/>
      <c r="T129" s="37"/>
      <c r="U129" s="14"/>
      <c r="V129" s="14"/>
      <c r="W129" s="35"/>
    </row>
    <row r="130" spans="2:23" x14ac:dyDescent="0.2">
      <c r="B130" s="14"/>
      <c r="C130" s="14"/>
      <c r="D130" s="14"/>
      <c r="E130" s="35"/>
      <c r="F130" s="14"/>
      <c r="G130" s="14"/>
      <c r="H130" s="35"/>
      <c r="I130" s="14"/>
      <c r="J130" s="14"/>
      <c r="K130" s="35"/>
      <c r="L130" s="14"/>
      <c r="M130" s="14"/>
      <c r="N130" s="35"/>
      <c r="O130" s="14"/>
      <c r="P130" s="14"/>
      <c r="Q130" s="14"/>
      <c r="R130" s="14"/>
      <c r="S130" s="37"/>
      <c r="T130" s="37"/>
      <c r="U130" s="14"/>
      <c r="V130" s="14"/>
      <c r="W130" s="35"/>
    </row>
    <row r="131" spans="2:23" x14ac:dyDescent="0.2">
      <c r="B131" s="34"/>
      <c r="C131" s="14"/>
      <c r="D131" s="14"/>
      <c r="E131" s="35"/>
      <c r="F131" s="14"/>
      <c r="G131" s="14"/>
      <c r="H131" s="35"/>
      <c r="I131" s="14"/>
      <c r="J131" s="14"/>
      <c r="K131" s="35"/>
      <c r="L131" s="14"/>
      <c r="M131" s="14"/>
      <c r="N131" s="35"/>
      <c r="O131" s="14"/>
      <c r="P131" s="14"/>
      <c r="Q131" s="14"/>
      <c r="R131" s="14"/>
      <c r="S131" s="37"/>
      <c r="T131" s="37"/>
      <c r="U131" s="14"/>
      <c r="V131" s="14"/>
      <c r="W131" s="35"/>
    </row>
    <row r="132" spans="2:23" x14ac:dyDescent="0.2">
      <c r="B132" s="34"/>
      <c r="C132" s="14"/>
      <c r="D132" s="14"/>
      <c r="E132" s="35"/>
      <c r="F132" s="14"/>
      <c r="G132" s="14"/>
      <c r="H132" s="35"/>
      <c r="I132" s="14"/>
      <c r="J132" s="14"/>
      <c r="K132" s="35"/>
      <c r="L132" s="14"/>
      <c r="M132" s="14"/>
      <c r="N132" s="35"/>
      <c r="O132" s="14"/>
      <c r="P132" s="14"/>
      <c r="Q132" s="14"/>
      <c r="R132" s="14"/>
      <c r="S132" s="37"/>
      <c r="T132" s="37"/>
      <c r="U132" s="14"/>
      <c r="V132" s="14"/>
      <c r="W132" s="35"/>
    </row>
    <row r="133" spans="2:23" x14ac:dyDescent="0.2">
      <c r="B133" s="34"/>
      <c r="C133" s="14"/>
      <c r="D133" s="14"/>
      <c r="E133" s="35"/>
      <c r="F133" s="14"/>
      <c r="G133" s="14"/>
      <c r="H133" s="35"/>
      <c r="I133" s="14"/>
      <c r="J133" s="14"/>
      <c r="K133" s="35"/>
      <c r="L133" s="14"/>
      <c r="M133" s="14"/>
      <c r="N133" s="35"/>
      <c r="O133" s="14"/>
      <c r="P133" s="14"/>
      <c r="Q133" s="14"/>
      <c r="R133" s="14"/>
      <c r="S133" s="37"/>
      <c r="T133" s="37"/>
      <c r="U133" s="14"/>
      <c r="V133" s="14"/>
      <c r="W133" s="35"/>
    </row>
    <row r="134" spans="2:23" x14ac:dyDescent="0.2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2:23" x14ac:dyDescent="0.2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2:23" x14ac:dyDescent="0.2">
      <c r="B136" s="40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41"/>
      <c r="T136" s="37"/>
      <c r="U136" s="14"/>
      <c r="V136" s="14"/>
      <c r="W136" s="14"/>
    </row>
    <row r="137" spans="2:23" x14ac:dyDescent="0.2">
      <c r="B137" s="34"/>
      <c r="C137" s="14"/>
      <c r="D137" s="14"/>
      <c r="E137" s="35"/>
      <c r="F137" s="14"/>
      <c r="G137" s="14"/>
      <c r="H137" s="35"/>
      <c r="I137" s="14"/>
      <c r="J137" s="14"/>
      <c r="K137" s="35"/>
      <c r="L137" s="14"/>
      <c r="M137" s="14"/>
      <c r="N137" s="35"/>
      <c r="O137" s="14"/>
      <c r="P137" s="14"/>
      <c r="Q137" s="14"/>
      <c r="R137" s="14"/>
      <c r="S137" s="37"/>
      <c r="T137" s="37"/>
      <c r="U137" s="14"/>
      <c r="V137" s="14"/>
      <c r="W137" s="35"/>
    </row>
    <row r="138" spans="2:23" x14ac:dyDescent="0.2">
      <c r="B138" s="34"/>
      <c r="C138" s="14"/>
      <c r="D138" s="14"/>
      <c r="E138" s="35"/>
      <c r="F138" s="14"/>
      <c r="G138" s="14"/>
      <c r="H138" s="35"/>
      <c r="I138" s="14"/>
      <c r="J138" s="14"/>
      <c r="K138" s="35"/>
      <c r="L138" s="14"/>
      <c r="M138" s="14"/>
      <c r="N138" s="35"/>
      <c r="O138" s="14"/>
      <c r="P138" s="14"/>
      <c r="Q138" s="14"/>
      <c r="R138" s="14"/>
      <c r="S138" s="37"/>
      <c r="T138" s="37"/>
      <c r="U138" s="14"/>
      <c r="V138" s="14"/>
      <c r="W138" s="35"/>
    </row>
    <row r="139" spans="2:23" x14ac:dyDescent="0.2">
      <c r="B139" s="34"/>
      <c r="C139" s="14"/>
      <c r="D139" s="14"/>
      <c r="E139" s="35"/>
      <c r="F139" s="14"/>
      <c r="G139" s="14"/>
      <c r="H139" s="35"/>
      <c r="I139" s="14"/>
      <c r="J139" s="14"/>
      <c r="K139" s="35"/>
      <c r="L139" s="14"/>
      <c r="M139" s="14"/>
      <c r="N139" s="14"/>
      <c r="O139" s="14"/>
      <c r="P139" s="14"/>
      <c r="Q139" s="14"/>
      <c r="R139" s="14"/>
      <c r="S139" s="37"/>
      <c r="T139" s="14"/>
      <c r="U139" s="14"/>
      <c r="V139" s="14"/>
      <c r="W139" s="14"/>
    </row>
    <row r="140" spans="2:23" x14ac:dyDescent="0.2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2:23" x14ac:dyDescent="0.2">
      <c r="B141" s="14"/>
      <c r="C141" s="42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2:23" x14ac:dyDescent="0.2">
      <c r="B142" s="14"/>
      <c r="C142" s="14"/>
      <c r="D142" s="14"/>
      <c r="E142" s="14"/>
      <c r="F142" s="37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2:23" x14ac:dyDescent="0.2">
      <c r="B143" s="14"/>
      <c r="C143" s="14"/>
      <c r="D143" s="14"/>
      <c r="E143" s="14"/>
      <c r="F143" s="37"/>
      <c r="G143" s="14"/>
      <c r="H143" s="14"/>
      <c r="I143" s="14"/>
      <c r="J143" s="14"/>
      <c r="K143" s="14"/>
      <c r="L143" s="14"/>
      <c r="M143" s="43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2:23" x14ac:dyDescent="0.2">
      <c r="B144" s="14"/>
      <c r="C144" s="14"/>
      <c r="D144" s="14"/>
      <c r="E144" s="14"/>
      <c r="F144" s="37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2:23" x14ac:dyDescent="0.2">
      <c r="B145" s="14"/>
      <c r="C145" s="14"/>
      <c r="D145" s="14"/>
      <c r="E145" s="14"/>
      <c r="F145" s="37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2:23" x14ac:dyDescent="0.2">
      <c r="B146" s="56"/>
      <c r="C146" s="57"/>
      <c r="D146" s="56"/>
      <c r="E146" s="56"/>
      <c r="F146" s="37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14"/>
      <c r="S146" s="14"/>
      <c r="T146" s="14"/>
      <c r="U146" s="14"/>
      <c r="V146" s="14"/>
      <c r="W146" s="14"/>
    </row>
    <row r="147" spans="2:23" x14ac:dyDescent="0.2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23" x14ac:dyDescent="0.2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23" x14ac:dyDescent="0.2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60"/>
      <c r="M149" s="59"/>
      <c r="N149" s="60"/>
      <c r="O149" s="59"/>
      <c r="P149" s="60"/>
      <c r="Q149" s="59"/>
    </row>
    <row r="150" spans="2:23" x14ac:dyDescent="0.2">
      <c r="B150" s="61"/>
      <c r="C150" s="56"/>
      <c r="D150" s="56"/>
      <c r="E150" s="62"/>
      <c r="F150" s="56"/>
      <c r="G150" s="56"/>
      <c r="H150" s="62"/>
      <c r="I150" s="56"/>
      <c r="J150" s="56"/>
      <c r="K150" s="62"/>
      <c r="L150" s="56"/>
      <c r="M150" s="56"/>
      <c r="N150" s="56"/>
      <c r="O150" s="56"/>
      <c r="P150" s="37"/>
      <c r="Q150" s="37"/>
    </row>
    <row r="151" spans="2:23" x14ac:dyDescent="0.2">
      <c r="B151" s="56"/>
      <c r="C151" s="56"/>
      <c r="D151" s="56"/>
      <c r="E151" s="62"/>
      <c r="F151" s="56"/>
      <c r="G151" s="56"/>
      <c r="H151" s="62"/>
      <c r="I151" s="56"/>
      <c r="J151" s="56"/>
      <c r="K151" s="62"/>
      <c r="L151" s="56"/>
      <c r="M151" s="56"/>
      <c r="N151" s="56"/>
      <c r="O151" s="56"/>
      <c r="P151" s="37"/>
      <c r="Q151" s="37"/>
    </row>
    <row r="152" spans="2:23" x14ac:dyDescent="0.2">
      <c r="B152" s="61"/>
      <c r="C152" s="56"/>
      <c r="D152" s="56"/>
      <c r="E152" s="62"/>
      <c r="F152" s="56"/>
      <c r="G152" s="56"/>
      <c r="H152" s="62"/>
      <c r="I152" s="56"/>
      <c r="J152" s="56"/>
      <c r="K152" s="62"/>
      <c r="L152" s="56"/>
      <c r="M152" s="56"/>
      <c r="N152" s="56"/>
      <c r="O152" s="56"/>
      <c r="P152" s="37"/>
      <c r="Q152" s="37"/>
    </row>
    <row r="153" spans="2:23" x14ac:dyDescent="0.2">
      <c r="B153" s="61"/>
      <c r="C153" s="56"/>
      <c r="D153" s="56"/>
      <c r="E153" s="62"/>
      <c r="F153" s="56"/>
      <c r="G153" s="56"/>
      <c r="H153" s="62"/>
      <c r="I153" s="56"/>
      <c r="J153" s="56"/>
      <c r="K153" s="62"/>
      <c r="L153" s="56"/>
      <c r="M153" s="56"/>
      <c r="N153" s="56"/>
      <c r="O153" s="56"/>
      <c r="P153" s="37"/>
      <c r="Q153" s="37"/>
    </row>
    <row r="154" spans="2:23" x14ac:dyDescent="0.2">
      <c r="B154" s="61"/>
      <c r="C154" s="56"/>
      <c r="D154" s="56"/>
      <c r="E154" s="62"/>
      <c r="F154" s="56"/>
      <c r="G154" s="56"/>
      <c r="H154" s="62"/>
      <c r="I154" s="56"/>
      <c r="J154" s="56"/>
      <c r="K154" s="62"/>
      <c r="L154" s="56"/>
      <c r="M154" s="56"/>
      <c r="N154" s="56"/>
      <c r="O154" s="56"/>
      <c r="P154" s="37"/>
      <c r="Q154" s="37"/>
    </row>
    <row r="155" spans="2:23" x14ac:dyDescent="0.2">
      <c r="B155" s="56"/>
      <c r="C155" s="56"/>
      <c r="D155" s="56"/>
      <c r="E155" s="62"/>
      <c r="F155" s="56"/>
      <c r="G155" s="56"/>
      <c r="H155" s="62"/>
      <c r="I155" s="56"/>
      <c r="J155" s="56"/>
      <c r="K155" s="62"/>
      <c r="L155" s="56"/>
      <c r="M155" s="56"/>
      <c r="N155" s="56"/>
      <c r="O155" s="56"/>
      <c r="P155" s="37"/>
      <c r="Q155" s="37"/>
    </row>
    <row r="156" spans="2:23" x14ac:dyDescent="0.2">
      <c r="B156" s="56"/>
      <c r="C156" s="56"/>
      <c r="D156" s="56"/>
      <c r="E156" s="62"/>
      <c r="F156" s="56"/>
      <c r="G156" s="56"/>
      <c r="H156" s="62"/>
      <c r="I156" s="56"/>
      <c r="J156" s="56"/>
      <c r="K156" s="62"/>
      <c r="L156" s="56"/>
      <c r="M156" s="56"/>
      <c r="N156" s="56"/>
      <c r="O156" s="56"/>
      <c r="P156" s="37"/>
      <c r="Q156" s="37"/>
    </row>
    <row r="157" spans="2:23" x14ac:dyDescent="0.2">
      <c r="B157" s="56"/>
      <c r="C157" s="56"/>
      <c r="D157" s="56"/>
      <c r="E157" s="62"/>
      <c r="F157" s="56"/>
      <c r="G157" s="56"/>
      <c r="H157" s="62"/>
      <c r="I157" s="56"/>
      <c r="J157" s="56"/>
      <c r="K157" s="62"/>
      <c r="L157" s="56"/>
      <c r="M157" s="56"/>
      <c r="N157" s="56"/>
      <c r="O157" s="56"/>
      <c r="P157" s="37"/>
      <c r="Q157" s="37"/>
    </row>
    <row r="158" spans="2:23" x14ac:dyDescent="0.2">
      <c r="B158" s="61"/>
      <c r="C158" s="56"/>
      <c r="D158" s="56"/>
      <c r="E158" s="62"/>
      <c r="F158" s="56"/>
      <c r="G158" s="56"/>
      <c r="H158" s="62"/>
      <c r="I158" s="56"/>
      <c r="J158" s="56"/>
      <c r="K158" s="62"/>
      <c r="L158" s="56"/>
      <c r="M158" s="56"/>
      <c r="N158" s="56"/>
      <c r="O158" s="56"/>
      <c r="P158" s="37"/>
      <c r="Q158" s="37"/>
    </row>
    <row r="159" spans="2:23" x14ac:dyDescent="0.2">
      <c r="B159" s="56"/>
      <c r="C159" s="56"/>
      <c r="D159" s="56"/>
      <c r="E159" s="62"/>
      <c r="F159" s="56"/>
      <c r="G159" s="56"/>
      <c r="H159" s="62"/>
      <c r="I159" s="56"/>
      <c r="J159" s="56"/>
      <c r="K159" s="62"/>
      <c r="L159" s="56"/>
      <c r="M159" s="56"/>
      <c r="N159" s="56"/>
      <c r="O159" s="56"/>
      <c r="P159" s="37"/>
      <c r="Q159" s="37"/>
    </row>
    <row r="160" spans="2:23" x14ac:dyDescent="0.2">
      <c r="B160" s="61"/>
      <c r="C160" s="56"/>
      <c r="D160" s="56"/>
      <c r="E160" s="62"/>
      <c r="F160" s="56"/>
      <c r="G160" s="56"/>
      <c r="H160" s="62"/>
      <c r="I160" s="56"/>
      <c r="J160" s="56"/>
      <c r="K160" s="62"/>
      <c r="L160" s="56"/>
      <c r="M160" s="56"/>
      <c r="N160" s="56"/>
      <c r="O160" s="56"/>
      <c r="P160" s="37"/>
      <c r="Q160" s="37"/>
    </row>
    <row r="161" spans="2:17" x14ac:dyDescent="0.2">
      <c r="B161" s="61"/>
      <c r="C161" s="56"/>
      <c r="D161" s="56"/>
      <c r="E161" s="62"/>
      <c r="F161" s="56"/>
      <c r="G161" s="56"/>
      <c r="H161" s="62"/>
      <c r="I161" s="56"/>
      <c r="J161" s="56"/>
      <c r="K161" s="62"/>
      <c r="L161" s="56"/>
      <c r="M161" s="56"/>
      <c r="N161" s="56"/>
      <c r="O161" s="56"/>
      <c r="P161" s="37"/>
      <c r="Q161" s="37"/>
    </row>
    <row r="162" spans="2:17" x14ac:dyDescent="0.2">
      <c r="B162" s="61"/>
      <c r="C162" s="56"/>
      <c r="D162" s="56"/>
      <c r="E162" s="62"/>
      <c r="F162" s="56"/>
      <c r="G162" s="56"/>
      <c r="H162" s="62"/>
      <c r="I162" s="56"/>
      <c r="J162" s="56"/>
      <c r="K162" s="62"/>
      <c r="L162" s="56"/>
      <c r="M162" s="56"/>
      <c r="N162" s="56"/>
      <c r="O162" s="56"/>
      <c r="P162" s="37"/>
      <c r="Q162" s="37"/>
    </row>
    <row r="163" spans="2:17" x14ac:dyDescent="0.2">
      <c r="B163" s="61"/>
      <c r="C163" s="56"/>
      <c r="D163" s="56"/>
      <c r="E163" s="62"/>
      <c r="F163" s="56"/>
      <c r="G163" s="56"/>
      <c r="H163" s="62"/>
      <c r="I163" s="56"/>
      <c r="J163" s="56"/>
      <c r="K163" s="62"/>
      <c r="L163" s="56"/>
      <c r="M163" s="56"/>
      <c r="N163" s="56"/>
      <c r="O163" s="56"/>
      <c r="P163" s="37"/>
      <c r="Q163" s="37"/>
    </row>
    <row r="164" spans="2:17" x14ac:dyDescent="0.2">
      <c r="B164" s="56"/>
      <c r="C164" s="56"/>
      <c r="D164" s="56"/>
      <c r="E164" s="62"/>
      <c r="F164" s="56"/>
      <c r="G164" s="56"/>
      <c r="H164" s="62"/>
      <c r="I164" s="56"/>
      <c r="J164" s="56"/>
      <c r="K164" s="62"/>
      <c r="L164" s="56"/>
      <c r="M164" s="56"/>
      <c r="N164" s="56"/>
      <c r="O164" s="56"/>
      <c r="P164" s="37"/>
      <c r="Q164" s="37"/>
    </row>
    <row r="165" spans="2:17" x14ac:dyDescent="0.2">
      <c r="B165" s="61"/>
      <c r="C165" s="56"/>
      <c r="D165" s="56"/>
      <c r="E165" s="62"/>
      <c r="F165" s="56"/>
      <c r="G165" s="56"/>
      <c r="H165" s="62"/>
      <c r="I165" s="56"/>
      <c r="J165" s="56"/>
      <c r="K165" s="62"/>
      <c r="L165" s="56"/>
      <c r="M165" s="56"/>
      <c r="N165" s="56"/>
      <c r="O165" s="56"/>
      <c r="P165" s="37"/>
      <c r="Q165" s="37"/>
    </row>
    <row r="166" spans="2:17" x14ac:dyDescent="0.2">
      <c r="B166" s="61"/>
      <c r="C166" s="56"/>
      <c r="D166" s="56"/>
      <c r="E166" s="62"/>
      <c r="F166" s="56"/>
      <c r="G166" s="56"/>
      <c r="H166" s="62"/>
      <c r="I166" s="56"/>
      <c r="J166" s="56"/>
      <c r="K166" s="62"/>
      <c r="L166" s="56"/>
      <c r="M166" s="56"/>
      <c r="N166" s="56"/>
      <c r="O166" s="56"/>
      <c r="P166" s="37"/>
      <c r="Q166" s="37"/>
    </row>
    <row r="167" spans="2:17" x14ac:dyDescent="0.2">
      <c r="B167" s="56"/>
      <c r="C167" s="56"/>
      <c r="D167" s="56"/>
      <c r="E167" s="62"/>
      <c r="F167" s="56"/>
      <c r="G167" s="56"/>
      <c r="H167" s="62"/>
      <c r="I167" s="56"/>
      <c r="J167" s="56"/>
      <c r="K167" s="62"/>
      <c r="L167" s="56"/>
      <c r="M167" s="56"/>
      <c r="N167" s="56"/>
      <c r="O167" s="56"/>
      <c r="P167" s="37"/>
      <c r="Q167" s="37"/>
    </row>
    <row r="168" spans="2:17" x14ac:dyDescent="0.2">
      <c r="B168" s="61"/>
      <c r="C168" s="56"/>
      <c r="D168" s="56"/>
      <c r="E168" s="62"/>
      <c r="F168" s="56"/>
      <c r="G168" s="56"/>
      <c r="H168" s="62"/>
      <c r="I168" s="56"/>
      <c r="J168" s="56"/>
      <c r="K168" s="62"/>
      <c r="L168" s="56"/>
      <c r="M168" s="56"/>
      <c r="N168" s="56"/>
      <c r="O168" s="56"/>
      <c r="P168" s="37"/>
      <c r="Q168" s="37"/>
    </row>
    <row r="169" spans="2:17" x14ac:dyDescent="0.2">
      <c r="B169" s="61"/>
      <c r="C169" s="56"/>
      <c r="D169" s="56"/>
      <c r="E169" s="62"/>
      <c r="F169" s="56"/>
      <c r="G169" s="56"/>
      <c r="H169" s="62"/>
      <c r="I169" s="56"/>
      <c r="J169" s="56"/>
      <c r="K169" s="62"/>
      <c r="L169" s="56"/>
      <c r="M169" s="56"/>
      <c r="N169" s="56"/>
      <c r="O169" s="56"/>
      <c r="P169" s="37"/>
      <c r="Q169" s="37"/>
    </row>
    <row r="170" spans="2:17" x14ac:dyDescent="0.2">
      <c r="B170" s="61"/>
      <c r="C170" s="56"/>
      <c r="D170" s="56"/>
      <c r="E170" s="62"/>
      <c r="F170" s="56"/>
      <c r="G170" s="56"/>
      <c r="H170" s="62"/>
      <c r="I170" s="56"/>
      <c r="J170" s="56"/>
      <c r="K170" s="62"/>
      <c r="L170" s="56"/>
      <c r="M170" s="56"/>
      <c r="N170" s="56"/>
      <c r="O170" s="56"/>
      <c r="P170" s="37"/>
      <c r="Q170" s="37"/>
    </row>
    <row r="171" spans="2:17" x14ac:dyDescent="0.2">
      <c r="B171" s="63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41"/>
      <c r="Q171" s="37"/>
    </row>
    <row r="172" spans="2:17" x14ac:dyDescent="0.2">
      <c r="B172" s="61"/>
      <c r="C172" s="64"/>
      <c r="D172" s="56"/>
      <c r="E172" s="62"/>
      <c r="F172" s="56"/>
      <c r="G172" s="56"/>
      <c r="H172" s="62"/>
      <c r="I172" s="56"/>
      <c r="J172" s="56"/>
      <c r="K172" s="62"/>
      <c r="L172" s="56"/>
      <c r="M172" s="56"/>
      <c r="N172" s="56"/>
      <c r="O172" s="56"/>
      <c r="P172" s="37"/>
      <c r="Q172" s="37"/>
    </row>
    <row r="173" spans="2:17" x14ac:dyDescent="0.2">
      <c r="B173" s="61"/>
      <c r="C173" s="64"/>
      <c r="D173" s="56"/>
      <c r="E173" s="62"/>
      <c r="F173" s="56"/>
      <c r="G173" s="56"/>
      <c r="H173" s="62"/>
      <c r="I173" s="56"/>
      <c r="J173" s="56"/>
      <c r="K173" s="62"/>
      <c r="L173" s="56"/>
      <c r="M173" s="56"/>
      <c r="N173" s="56"/>
      <c r="O173" s="56"/>
      <c r="P173" s="37"/>
      <c r="Q173" s="37"/>
    </row>
    <row r="174" spans="2:17" x14ac:dyDescent="0.2">
      <c r="B174" s="61"/>
      <c r="C174" s="56"/>
      <c r="D174" s="56"/>
      <c r="E174" s="62"/>
      <c r="F174" s="56"/>
      <c r="G174" s="56"/>
      <c r="H174" s="62"/>
      <c r="I174" s="56"/>
      <c r="J174" s="56"/>
      <c r="K174" s="62"/>
      <c r="L174" s="56"/>
      <c r="M174" s="56"/>
      <c r="N174" s="56"/>
      <c r="O174" s="56"/>
      <c r="P174" s="37"/>
      <c r="Q174" s="58"/>
    </row>
    <row r="175" spans="2:17" x14ac:dyDescent="0.2">
      <c r="B175" s="61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8"/>
    </row>
    <row r="176" spans="2:17" x14ac:dyDescent="0.2">
      <c r="B176" s="61"/>
      <c r="C176" s="56"/>
      <c r="D176" s="56"/>
      <c r="E176" s="37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8"/>
    </row>
    <row r="177" spans="2:17" x14ac:dyDescent="0.2">
      <c r="B177" s="61"/>
      <c r="C177" s="56"/>
      <c r="D177" s="56"/>
      <c r="E177" s="37"/>
      <c r="F177" s="37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8"/>
    </row>
    <row r="178" spans="2:17" x14ac:dyDescent="0.2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2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</sheetData>
  <phoneticPr fontId="0" type="noConversion"/>
  <pageMargins left="0.75" right="0.75" top="1" bottom="1" header="0.5" footer="0.5"/>
  <pageSetup paperSize="9" scale="4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Manager/>
  <Company>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m01g867</dc:creator>
  <cp:keywords/>
  <dc:description/>
  <cp:lastModifiedBy>Meijer, Jessica</cp:lastModifiedBy>
  <cp:revision/>
  <cp:lastPrinted>2018-10-01T20:11:24Z</cp:lastPrinted>
  <dcterms:created xsi:type="dcterms:W3CDTF">2011-10-10T09:34:26Z</dcterms:created>
  <dcterms:modified xsi:type="dcterms:W3CDTF">2023-09-11T12:23:34Z</dcterms:modified>
  <cp:category/>
  <cp:contentStatus/>
</cp:coreProperties>
</file>